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575" tabRatio="720" activeTab="4"/>
  </bookViews>
  <sheets>
    <sheet name="journaalposten" sheetId="1" r:id="rId1"/>
    <sheet name="ballans &amp; resultaat" sheetId="2" r:id="rId2"/>
    <sheet name="loonkosten" sheetId="3" r:id="rId3"/>
    <sheet name="Afschrijvingen" sheetId="4" r:id="rId4"/>
    <sheet name="Liquiditeit" sheetId="5" r:id="rId5"/>
  </sheets>
  <definedNames>
    <definedName name="credit">'journaalposten'!$F$3:$F$49</definedName>
    <definedName name="debet">'journaalposten'!$E$3:$E$49</definedName>
    <definedName name="EV_1_jan_05">'ballans &amp; resultaat'!$F$29</definedName>
    <definedName name="post">'journaalposten'!$C$3:$C$49</definedName>
  </definedNames>
  <calcPr fullCalcOnLoad="1"/>
</workbook>
</file>

<file path=xl/comments3.xml><?xml version="1.0" encoding="utf-8"?>
<comments xmlns="http://schemas.openxmlformats.org/spreadsheetml/2006/main">
  <authors>
    <author>Gebruiker</author>
    <author>Jonathan Tjoeng</author>
  </authors>
  <commentList>
    <comment ref="F2" authorId="0">
      <text>
        <r>
          <rPr>
            <b/>
            <sz val="8"/>
            <color indexed="8"/>
            <rFont val="Tahoma"/>
            <family val="2"/>
          </rPr>
          <t xml:space="preserve">Aantal uur per fte maal 4 weken * brutouurloon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>Aantal uur per fte maal
 4 weken * netto
uurloon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color indexed="8"/>
            <rFont val="Tahoma"/>
            <family val="0"/>
          </rPr>
          <t xml:space="preserve">vakantiegeld = 10% van het maandsalaris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color indexed="8"/>
            <rFont val="Tahoma"/>
            <family val="0"/>
          </rPr>
          <t xml:space="preserve">3 werknemers: 3*1fte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4" authorId="1">
      <text>
        <r>
          <rPr>
            <b/>
            <sz val="8"/>
            <color indexed="8"/>
            <rFont val="Tahoma"/>
            <family val="2"/>
          </rPr>
          <t>3 werknemers:
3*1fte</t>
        </r>
      </text>
    </comment>
  </commentList>
</comments>
</file>

<file path=xl/sharedStrings.xml><?xml version="1.0" encoding="utf-8"?>
<sst xmlns="http://schemas.openxmlformats.org/spreadsheetml/2006/main" count="286" uniqueCount="144">
  <si>
    <t>Journaalposten januari 2005</t>
  </si>
  <si>
    <t>Datum</t>
  </si>
  <si>
    <t>Post</t>
  </si>
  <si>
    <t>Post
omschrijving</t>
  </si>
  <si>
    <t>Debet</t>
  </si>
  <si>
    <t>Credit</t>
  </si>
  <si>
    <t>Toelichting</t>
  </si>
  <si>
    <t>bank</t>
  </si>
  <si>
    <t>150 verkochte dozen borrelhapjes zijn betaald</t>
  </si>
  <si>
    <t>aan</t>
  </si>
  <si>
    <t>debiteuren</t>
  </si>
  <si>
    <t>200 verkochte dozen kroepoek zijn betaald</t>
  </si>
  <si>
    <t>overige kosten</t>
  </si>
  <si>
    <t>Kosten energie</t>
  </si>
  <si>
    <t>crediteuren</t>
  </si>
  <si>
    <t>Ontvangen factuur energie</t>
  </si>
  <si>
    <t>Dozen en materialen voor verpakking productie</t>
  </si>
  <si>
    <t>Betaald dozen en materialen</t>
  </si>
  <si>
    <t>inkoopprijs</t>
  </si>
  <si>
    <t>Ingrediënten voor de productie</t>
  </si>
  <si>
    <t>Debiteuren toegenomen door verkoop productie</t>
  </si>
  <si>
    <t>voorraad</t>
  </si>
  <si>
    <t>182</t>
  </si>
  <si>
    <t>te betalen OB</t>
  </si>
  <si>
    <t>Aan voorraad</t>
  </si>
  <si>
    <t>opbrengst verkopen</t>
  </si>
  <si>
    <t>Aan opbrengst verkoop productie</t>
  </si>
  <si>
    <t>002</t>
  </si>
  <si>
    <t>inventaris</t>
  </si>
  <si>
    <t>Stoelen/tafels kantine</t>
  </si>
  <si>
    <t>110</t>
  </si>
  <si>
    <t>Betaald stoelen/tafels kantine</t>
  </si>
  <si>
    <t>Inventaris toegenomen met nieuwe Machine</t>
  </si>
  <si>
    <t>te vorderen OB</t>
  </si>
  <si>
    <t>Betaald nieuwe machine</t>
  </si>
  <si>
    <r>
      <t>Ingekocht ingredi</t>
    </r>
    <r>
      <rPr>
        <sz val="10"/>
        <rFont val="Arial"/>
        <family val="2"/>
      </rPr>
      <t>ë</t>
    </r>
    <r>
      <rPr>
        <sz val="10"/>
        <rFont val="Arial"/>
        <family val="0"/>
      </rPr>
      <t>nten voor productieproces</t>
    </r>
  </si>
  <si>
    <t>180</t>
  </si>
  <si>
    <t>Aan crediteuren voor Ingrediënten</t>
  </si>
  <si>
    <t>220 dozen allerlei zijn verkocht</t>
  </si>
  <si>
    <t>Opbrengst verkoop</t>
  </si>
  <si>
    <t>130 dozen kroepoek verkocht</t>
  </si>
  <si>
    <t>huisvestingskosten</t>
  </si>
  <si>
    <t>Aan huisvesting</t>
  </si>
  <si>
    <t>Huur</t>
  </si>
  <si>
    <t>loonkosten</t>
  </si>
  <si>
    <t>Netto lonen januari</t>
  </si>
  <si>
    <t>Aan bank</t>
  </si>
  <si>
    <t>loonbelasting &amp;soc. Lasten</t>
  </si>
  <si>
    <t>Te betalen loonbelasting en sociale lasten</t>
  </si>
  <si>
    <t>Aanleggen van een netwerk voor de logistiek</t>
  </si>
  <si>
    <t>Netwerk aanleg betaald</t>
  </si>
  <si>
    <t>Rekening</t>
  </si>
  <si>
    <t>Proefbalans per 31 januari</t>
  </si>
  <si>
    <t>Saldibalansbalans</t>
  </si>
  <si>
    <t>Resultatenrekening</t>
  </si>
  <si>
    <t>Balans</t>
  </si>
  <si>
    <t>700</t>
  </si>
  <si>
    <t>EV</t>
  </si>
  <si>
    <t>eigen vermogen</t>
  </si>
  <si>
    <t>inkoopprijs verkopen</t>
  </si>
  <si>
    <t>inkomstenbelasting</t>
  </si>
  <si>
    <t>huisvesting</t>
  </si>
  <si>
    <t>winst</t>
  </si>
  <si>
    <t>totaal</t>
  </si>
  <si>
    <t>Balans per 1 januari 2005</t>
  </si>
  <si>
    <t>Inventaris</t>
  </si>
  <si>
    <t>Voorraad</t>
  </si>
  <si>
    <t>Crediteuren</t>
  </si>
  <si>
    <t>Debiteuren</t>
  </si>
  <si>
    <t>Bank</t>
  </si>
  <si>
    <t>Balanstotaal</t>
  </si>
  <si>
    <t>Funktie</t>
  </si>
  <si>
    <t>Totaal aantal 
taakomvang</t>
  </si>
  <si>
    <t>Bruto
uurloon</t>
  </si>
  <si>
    <t>Netto uurloon</t>
  </si>
  <si>
    <t>Totaal
bruto
maandloon</t>
  </si>
  <si>
    <t>Totaal netto maandloon</t>
  </si>
  <si>
    <t>10 %
vakantiegeld</t>
  </si>
  <si>
    <t>Bruto uit te betalen
jaarsalaris</t>
  </si>
  <si>
    <t>Te betalen
sociale lasten
 20 % per maand</t>
  </si>
  <si>
    <t>Directeur</t>
  </si>
  <si>
    <t>Keuken werknemers</t>
  </si>
  <si>
    <t>Inpakkers</t>
  </si>
  <si>
    <t>Schoonmaker</t>
  </si>
  <si>
    <t>1 fte =  klokuur per week</t>
  </si>
  <si>
    <t>Aantal uur per maand bij 1 fte</t>
  </si>
  <si>
    <t>Te betalen netto lonen per maand in janari</t>
  </si>
  <si>
    <t>Netwerk</t>
  </si>
  <si>
    <t>Machine</t>
  </si>
  <si>
    <t>Stoelen/Tafels</t>
  </si>
  <si>
    <t>Linearie methode</t>
  </si>
  <si>
    <t>Inventarisstuk</t>
  </si>
  <si>
    <t>Afschrijving per maand</t>
  </si>
  <si>
    <t>Afschrijving van vast percentage van de boekwaarde per jaar</t>
  </si>
  <si>
    <t>Afschrijvingspercentage per jaar</t>
  </si>
  <si>
    <t>Boekwaarde</t>
  </si>
  <si>
    <t>Afgelost per jaar</t>
  </si>
  <si>
    <t>Afgelost per maand</t>
  </si>
  <si>
    <t>1 jan. Jaar 1</t>
  </si>
  <si>
    <t>1 jan. Jaar 2</t>
  </si>
  <si>
    <t>1 jan. Jaar 3</t>
  </si>
  <si>
    <t>1 jan. Jaar 4</t>
  </si>
  <si>
    <t>1 jan. Jaar 5</t>
  </si>
  <si>
    <t>1 jan. Jaar 6</t>
  </si>
  <si>
    <t>1 jan. Jaar 7</t>
  </si>
  <si>
    <t>1 jan. Jaar 8</t>
  </si>
  <si>
    <t>1 jan. Jaar 9</t>
  </si>
  <si>
    <t>1 jan. Jaar 10</t>
  </si>
  <si>
    <t>1 jan. Jaar 11</t>
  </si>
  <si>
    <t>DDB</t>
  </si>
  <si>
    <t>LIN</t>
  </si>
  <si>
    <t>SYD</t>
  </si>
  <si>
    <t>Inventaris die afgeschreven wordt in de komende jaren</t>
  </si>
  <si>
    <t>Aanschafwaarde</t>
  </si>
  <si>
    <t xml:space="preserve">Levensduur </t>
  </si>
  <si>
    <t>Restwaarde</t>
  </si>
  <si>
    <t>Afschrijving volgens de methode van Sum of Years Digits</t>
  </si>
  <si>
    <t>Volgens de methode Double declining balance</t>
  </si>
  <si>
    <t>#</t>
  </si>
  <si>
    <t>Jaar</t>
  </si>
  <si>
    <t>Afschrijving per jaar</t>
  </si>
  <si>
    <t>Tabel Afschrijvingsmethoden</t>
  </si>
  <si>
    <t>Vast % boekwaarde</t>
  </si>
  <si>
    <t>jaar1</t>
  </si>
  <si>
    <t>1-mrt</t>
  </si>
  <si>
    <t>jaar 2</t>
  </si>
  <si>
    <t>jaar 3</t>
  </si>
  <si>
    <t>jaar 4</t>
  </si>
  <si>
    <t>jaar 5</t>
  </si>
  <si>
    <t>jaar 6</t>
  </si>
  <si>
    <t>jaar 7</t>
  </si>
  <si>
    <t>jaar 8</t>
  </si>
  <si>
    <t>jaar 9</t>
  </si>
  <si>
    <t>jaar 10</t>
  </si>
  <si>
    <t>jaar 11</t>
  </si>
  <si>
    <t>Afschrijving van vast percentage van de boekwaarde per maand</t>
  </si>
  <si>
    <t>Afschrijvingspercentage per maand</t>
  </si>
  <si>
    <t>liquiditeitsoverzicht</t>
  </si>
  <si>
    <t>debiteuren die hebben betaald</t>
  </si>
  <si>
    <t>crediteuren die zijn betaald</t>
  </si>
  <si>
    <t>sociale lasten</t>
  </si>
  <si>
    <t>meer uitgeveven dan ontvangen:</t>
  </si>
  <si>
    <t>op de bank begin van de maand</t>
  </si>
  <si>
    <t>op de bank begin van de nieuwe maand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</si>
</sst>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\ #,##0.00_-"/>
    <numFmt numFmtId="169" formatCode="_-&quot;€&quot;\ * #,##0_-;_-&quot;€&quot;\ * #,##0\-;_-&quot;€&quot;\ * &quot;-&quot;??_-;_-@_-"/>
    <numFmt numFmtId="170" formatCode="&quot;€&quot;\ #,##0_-"/>
    <numFmt numFmtId="171" formatCode="[$-413]d/mmm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49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" fontId="0" fillId="4" borderId="4" xfId="0" applyNumberFormat="1" applyFill="1" applyBorder="1" applyAlignment="1">
      <alignment/>
    </xf>
    <xf numFmtId="16" fontId="0" fillId="5" borderId="5" xfId="0" applyNumberFormat="1" applyFill="1" applyBorder="1" applyAlignment="1">
      <alignment horizontal="right"/>
    </xf>
    <xf numFmtId="49" fontId="0" fillId="5" borderId="5" xfId="0" applyNumberForma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16" fontId="0" fillId="4" borderId="0" xfId="0" applyNumberFormat="1" applyFill="1" applyAlignment="1">
      <alignment/>
    </xf>
    <xf numFmtId="16" fontId="0" fillId="4" borderId="7" xfId="0" applyNumberFormat="1" applyFill="1" applyBorder="1" applyAlignment="1">
      <alignment/>
    </xf>
    <xf numFmtId="16" fontId="0" fillId="4" borderId="6" xfId="0" applyNumberFormat="1" applyFill="1" applyBorder="1" applyAlignment="1">
      <alignment/>
    </xf>
    <xf numFmtId="16" fontId="0" fillId="4" borderId="8" xfId="0" applyNumberFormat="1" applyFill="1" applyBorder="1" applyAlignment="1">
      <alignment/>
    </xf>
    <xf numFmtId="16" fontId="0" fillId="4" borderId="9" xfId="0" applyNumberFormat="1" applyFill="1" applyBorder="1" applyAlignment="1">
      <alignment/>
    </xf>
    <xf numFmtId="16" fontId="0" fillId="5" borderId="3" xfId="0" applyNumberFormat="1" applyFill="1" applyBorder="1" applyAlignment="1">
      <alignment horizontal="right"/>
    </xf>
    <xf numFmtId="49" fontId="0" fillId="5" borderId="3" xfId="0" applyNumberForma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3" xfId="0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0" xfId="0" applyNumberFormat="1" applyFill="1" applyBorder="1" applyAlignment="1">
      <alignment horizontal="right"/>
    </xf>
    <xf numFmtId="0" fontId="0" fillId="4" borderId="10" xfId="0" applyFill="1" applyBorder="1" applyAlignment="1">
      <alignment/>
    </xf>
    <xf numFmtId="16" fontId="0" fillId="4" borderId="3" xfId="0" applyNumberFormat="1" applyFill="1" applyBorder="1" applyAlignment="1">
      <alignment/>
    </xf>
    <xf numFmtId="16" fontId="0" fillId="4" borderId="1" xfId="0" applyNumberFormat="1" applyFill="1" applyBorder="1" applyAlignment="1">
      <alignment/>
    </xf>
    <xf numFmtId="16" fontId="0" fillId="5" borderId="2" xfId="0" applyNumberFormat="1" applyFill="1" applyBorder="1" applyAlignment="1">
      <alignment horizontal="right"/>
    </xf>
    <xf numFmtId="49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4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/>
    </xf>
    <xf numFmtId="16" fontId="0" fillId="4" borderId="11" xfId="0" applyNumberFormat="1" applyFill="1" applyBorder="1" applyAlignment="1">
      <alignment/>
    </xf>
    <xf numFmtId="16" fontId="0" fillId="4" borderId="2" xfId="0" applyNumberFormat="1" applyFill="1" applyBorder="1" applyAlignment="1">
      <alignment/>
    </xf>
    <xf numFmtId="16" fontId="0" fillId="4" borderId="12" xfId="0" applyNumberFormat="1" applyFill="1" applyBorder="1" applyAlignment="1">
      <alignment/>
    </xf>
    <xf numFmtId="0" fontId="0" fillId="4" borderId="0" xfId="0" applyFill="1" applyAlignment="1">
      <alignment/>
    </xf>
    <xf numFmtId="16" fontId="0" fillId="4" borderId="13" xfId="0" applyNumberFormat="1" applyFill="1" applyBorder="1" applyAlignment="1">
      <alignment/>
    </xf>
    <xf numFmtId="16" fontId="0" fillId="4" borderId="4" xfId="0" applyNumberFormat="1" applyFill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6" fontId="0" fillId="4" borderId="1" xfId="0" applyNumberFormat="1" applyFill="1" applyBorder="1" applyAlignment="1">
      <alignment horizontal="right"/>
    </xf>
    <xf numFmtId="16" fontId="0" fillId="4" borderId="0" xfId="0" applyNumberFormat="1" applyFill="1" applyAlignment="1">
      <alignment horizontal="right"/>
    </xf>
    <xf numFmtId="1" fontId="0" fillId="5" borderId="2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0" fontId="0" fillId="5" borderId="5" xfId="0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4" borderId="6" xfId="0" applyFill="1" applyBorder="1" applyAlignment="1">
      <alignment/>
    </xf>
    <xf numFmtId="16" fontId="0" fillId="4" borderId="5" xfId="0" applyNumberFormat="1" applyFill="1" applyBorder="1" applyAlignment="1">
      <alignment/>
    </xf>
    <xf numFmtId="1" fontId="0" fillId="5" borderId="9" xfId="0" applyNumberFormat="1" applyFill="1" applyBorder="1" applyAlignment="1">
      <alignment/>
    </xf>
    <xf numFmtId="16" fontId="0" fillId="3" borderId="1" xfId="0" applyNumberFormat="1" applyFill="1" applyBorder="1" applyAlignment="1">
      <alignment/>
    </xf>
    <xf numFmtId="16" fontId="0" fillId="6" borderId="2" xfId="0" applyNumberFormat="1" applyFill="1" applyBorder="1" applyAlignment="1">
      <alignment horizontal="right"/>
    </xf>
    <xf numFmtId="49" fontId="0" fillId="6" borderId="2" xfId="0" applyNumberFormat="1" applyFill="1" applyBorder="1" applyAlignment="1">
      <alignment horizontal="center"/>
    </xf>
    <xf numFmtId="0" fontId="0" fillId="6" borderId="0" xfId="0" applyFill="1" applyAlignment="1">
      <alignment/>
    </xf>
    <xf numFmtId="1" fontId="0" fillId="6" borderId="1" xfId="0" applyNumberFormat="1" applyFill="1" applyBorder="1" applyAlignment="1">
      <alignment/>
    </xf>
    <xf numFmtId="1" fontId="0" fillId="6" borderId="2" xfId="0" applyNumberFormat="1" applyFill="1" applyBorder="1" applyAlignment="1">
      <alignment/>
    </xf>
    <xf numFmtId="16" fontId="0" fillId="3" borderId="9" xfId="0" applyNumberFormat="1" applyFill="1" applyBorder="1" applyAlignment="1">
      <alignment/>
    </xf>
    <xf numFmtId="16" fontId="0" fillId="6" borderId="3" xfId="0" applyNumberFormat="1" applyFill="1" applyBorder="1" applyAlignment="1">
      <alignment horizontal="right"/>
    </xf>
    <xf numFmtId="49" fontId="0" fillId="6" borderId="3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3" xfId="0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3" borderId="14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right"/>
    </xf>
    <xf numFmtId="49" fontId="0" fillId="4" borderId="9" xfId="0" applyNumberFormat="1" applyFill="1" applyBorder="1" applyAlignment="1">
      <alignment horizontal="right"/>
    </xf>
    <xf numFmtId="168" fontId="3" fillId="6" borderId="3" xfId="0" applyNumberFormat="1" applyFont="1" applyFill="1" applyBorder="1" applyAlignment="1">
      <alignment horizontal="left"/>
    </xf>
    <xf numFmtId="169" fontId="0" fillId="5" borderId="3" xfId="19" applyNumberFormat="1" applyFill="1" applyBorder="1" applyAlignment="1">
      <alignment/>
    </xf>
    <xf numFmtId="169" fontId="0" fillId="6" borderId="3" xfId="19" applyNumberFormat="1" applyFill="1" applyBorder="1" applyAlignment="1">
      <alignment horizontal="center"/>
    </xf>
    <xf numFmtId="169" fontId="0" fillId="6" borderId="3" xfId="19" applyNumberFormat="1" applyFill="1" applyBorder="1" applyAlignment="1">
      <alignment/>
    </xf>
    <xf numFmtId="0" fontId="3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168" fontId="0" fillId="6" borderId="10" xfId="0" applyNumberFormat="1" applyFill="1" applyBorder="1" applyAlignment="1">
      <alignment horizontal="left"/>
    </xf>
    <xf numFmtId="169" fontId="0" fillId="5" borderId="9" xfId="19" applyNumberFormat="1" applyFill="1" applyBorder="1" applyAlignment="1">
      <alignment/>
    </xf>
    <xf numFmtId="49" fontId="0" fillId="0" borderId="0" xfId="0" applyNumberFormat="1" applyAlignment="1">
      <alignment horizontal="center"/>
    </xf>
    <xf numFmtId="168" fontId="0" fillId="6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/>
    </xf>
    <xf numFmtId="169" fontId="0" fillId="6" borderId="3" xfId="19" applyNumberFormat="1" applyFill="1" applyBorder="1" applyAlignment="1">
      <alignment horizontal="right"/>
    </xf>
    <xf numFmtId="0" fontId="0" fillId="0" borderId="0" xfId="0" applyAlignment="1">
      <alignment horizontal="left" wrapText="1"/>
    </xf>
    <xf numFmtId="169" fontId="0" fillId="0" borderId="0" xfId="19" applyNumberFormat="1" applyAlignment="1">
      <alignment/>
    </xf>
    <xf numFmtId="0" fontId="0" fillId="6" borderId="3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6" xfId="0" applyFill="1" applyBorder="1" applyAlignment="1">
      <alignment/>
    </xf>
    <xf numFmtId="169" fontId="0" fillId="6" borderId="16" xfId="19" applyNumberForma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169" fontId="0" fillId="0" borderId="0" xfId="0" applyNumberFormat="1" applyAlignment="1">
      <alignment/>
    </xf>
    <xf numFmtId="169" fontId="0" fillId="6" borderId="16" xfId="0" applyNumberFormat="1" applyFont="1" applyFill="1" applyBorder="1" applyAlignment="1">
      <alignment/>
    </xf>
    <xf numFmtId="169" fontId="0" fillId="6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" borderId="15" xfId="0" applyFill="1" applyBorder="1" applyAlignment="1">
      <alignment/>
    </xf>
    <xf numFmtId="0" fontId="3" fillId="3" borderId="15" xfId="0" applyFont="1" applyFill="1" applyBorder="1" applyAlignment="1">
      <alignment/>
    </xf>
    <xf numFmtId="49" fontId="3" fillId="3" borderId="15" xfId="0" applyNumberFormat="1" applyFont="1" applyFill="1" applyBorder="1" applyAlignment="1">
      <alignment/>
    </xf>
    <xf numFmtId="169" fontId="0" fillId="6" borderId="15" xfId="19" applyNumberFormat="1" applyFill="1" applyBorder="1" applyAlignment="1">
      <alignment/>
    </xf>
    <xf numFmtId="0" fontId="0" fillId="6" borderId="15" xfId="19" applyNumberFormat="1" applyFill="1" applyBorder="1" applyAlignment="1">
      <alignment/>
    </xf>
    <xf numFmtId="8" fontId="3" fillId="3" borderId="15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0" fontId="3" fillId="3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6" borderId="15" xfId="19" applyFill="1" applyBorder="1" applyAlignment="1">
      <alignment/>
    </xf>
    <xf numFmtId="8" fontId="0" fillId="6" borderId="15" xfId="0" applyNumberFormat="1" applyFill="1" applyBorder="1" applyAlignment="1">
      <alignment/>
    </xf>
    <xf numFmtId="8" fontId="0" fillId="6" borderId="15" xfId="19" applyNumberForma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" borderId="15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3" fillId="3" borderId="15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" borderId="7" xfId="0" applyFont="1" applyFill="1" applyBorder="1" applyAlignment="1">
      <alignment/>
    </xf>
    <xf numFmtId="8" fontId="0" fillId="6" borderId="17" xfId="0" applyNumberFormat="1" applyFill="1" applyBorder="1" applyAlignment="1">
      <alignment/>
    </xf>
    <xf numFmtId="8" fontId="0" fillId="6" borderId="16" xfId="0" applyNumberFormat="1" applyFill="1" applyBorder="1" applyAlignment="1">
      <alignment/>
    </xf>
    <xf numFmtId="8" fontId="0" fillId="7" borderId="17" xfId="0" applyNumberFormat="1" applyFill="1" applyBorder="1" applyAlignment="1">
      <alignment/>
    </xf>
    <xf numFmtId="0" fontId="0" fillId="6" borderId="16" xfId="0" applyFill="1" applyBorder="1" applyAlignment="1">
      <alignment/>
    </xf>
    <xf numFmtId="8" fontId="0" fillId="7" borderId="3" xfId="0" applyNumberFormat="1" applyFill="1" applyBorder="1" applyAlignment="1">
      <alignment/>
    </xf>
    <xf numFmtId="0" fontId="0" fillId="7" borderId="5" xfId="0" applyFill="1" applyBorder="1" applyAlignment="1">
      <alignment/>
    </xf>
    <xf numFmtId="170" fontId="0" fillId="6" borderId="15" xfId="0" applyNumberForma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6" borderId="15" xfId="0" applyFont="1" applyFill="1" applyBorder="1" applyAlignment="1">
      <alignment horizontal="left"/>
    </xf>
    <xf numFmtId="16" fontId="0" fillId="0" borderId="0" xfId="0" applyNumberFormat="1" applyAlignment="1">
      <alignment/>
    </xf>
    <xf numFmtId="1" fontId="0" fillId="6" borderId="15" xfId="0" applyNumberFormat="1" applyFill="1" applyBorder="1" applyAlignment="1">
      <alignment/>
    </xf>
    <xf numFmtId="171" fontId="0" fillId="6" borderId="15" xfId="0" applyNumberFormat="1" applyFill="1" applyBorder="1" applyAlignment="1">
      <alignment horizontal="right"/>
    </xf>
    <xf numFmtId="16" fontId="0" fillId="6" borderId="15" xfId="0" applyNumberFormat="1" applyFill="1" applyBorder="1" applyAlignment="1">
      <alignment horizontal="right"/>
    </xf>
    <xf numFmtId="16" fontId="0" fillId="6" borderId="15" xfId="0" applyNumberFormat="1" applyFill="1" applyBorder="1" applyAlignment="1">
      <alignment/>
    </xf>
    <xf numFmtId="171" fontId="0" fillId="6" borderId="9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10" borderId="15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3" fillId="7" borderId="4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11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11" borderId="0" xfId="0" applyFont="1" applyFill="1" applyAlignment="1">
      <alignment/>
    </xf>
    <xf numFmtId="3" fontId="3" fillId="11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dxfs count="1">
    <dxf>
      <font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Afschrijvingen per jaar voor het Netwerk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975"/>
          <c:w val="0.59125"/>
          <c:h val="0.69475"/>
        </c:manualLayout>
      </c:layout>
      <c:lineChart>
        <c:grouping val="stacked"/>
        <c:varyColors val="0"/>
        <c:ser>
          <c:idx val="0"/>
          <c:order val="0"/>
          <c:tx>
            <c:strRef>
              <c:f>Afschrijvingen!$E$67</c:f>
              <c:strCache>
                <c:ptCount val="1"/>
                <c:pt idx="0">
                  <c:v>DDB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Afschrijvingen!$E$68:$E$77</c:f>
              <c:numCache/>
            </c:numRef>
          </c:val>
          <c:smooth val="0"/>
        </c:ser>
        <c:ser>
          <c:idx val="1"/>
          <c:order val="1"/>
          <c:tx>
            <c:strRef>
              <c:f>Afschrijvingen!$F$67</c:f>
              <c:strCache>
                <c:ptCount val="1"/>
                <c:pt idx="0">
                  <c:v>LIN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Afschrijvingen!$F$68:$F$77</c:f>
              <c:numCache/>
            </c:numRef>
          </c:val>
          <c:smooth val="0"/>
        </c:ser>
        <c:ser>
          <c:idx val="2"/>
          <c:order val="2"/>
          <c:tx>
            <c:strRef>
              <c:f>Afschrijvingen!$G$67</c:f>
              <c:strCache>
                <c:ptCount val="1"/>
                <c:pt idx="0">
                  <c:v>SYD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Afschrijvingen!$G$68:$G$77</c:f>
              <c:numCache/>
            </c:numRef>
          </c:val>
          <c:smooth val="0"/>
        </c:ser>
        <c:ser>
          <c:idx val="3"/>
          <c:order val="3"/>
          <c:tx>
            <c:strRef>
              <c:f>Afschrijvingen!$H$67</c:f>
              <c:strCache>
                <c:ptCount val="1"/>
                <c:pt idx="0">
                  <c:v>Vast % boekwaarde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Afschrijvingen!$H$68:$H$77</c:f>
              <c:numCache/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Afschrijvingsbedragen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341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6</xdr:col>
      <xdr:colOff>352425</xdr:colOff>
      <xdr:row>95</xdr:row>
      <xdr:rowOff>114300</xdr:rowOff>
    </xdr:to>
    <xdr:graphicFrame>
      <xdr:nvGraphicFramePr>
        <xdr:cNvPr id="1" name="Chart 4"/>
        <xdr:cNvGraphicFramePr/>
      </xdr:nvGraphicFramePr>
      <xdr:xfrm>
        <a:off x="609600" y="12792075"/>
        <a:ext cx="4981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2">
      <selection activeCell="G47" sqref="G47"/>
    </sheetView>
  </sheetViews>
  <sheetFormatPr defaultColWidth="9.140625" defaultRowHeight="12.75"/>
  <cols>
    <col min="4" max="4" width="23.140625" style="0" customWidth="1"/>
    <col min="5" max="6" width="9.57421875" style="0" customWidth="1"/>
  </cols>
  <sheetData>
    <row r="1" spans="1:11" ht="12.75">
      <c r="A1" s="150" t="s">
        <v>0</v>
      </c>
      <c r="B1" s="151"/>
      <c r="C1" s="151"/>
      <c r="D1" s="151"/>
      <c r="E1" s="151"/>
      <c r="F1" s="152"/>
      <c r="G1" s="2"/>
      <c r="H1" s="2"/>
      <c r="I1" s="2"/>
      <c r="J1" s="2"/>
      <c r="K1" s="2"/>
    </row>
    <row r="2" spans="1:11" ht="25.5">
      <c r="A2" s="3" t="s">
        <v>1</v>
      </c>
      <c r="B2" s="4"/>
      <c r="C2" s="5" t="s">
        <v>2</v>
      </c>
      <c r="D2" s="6" t="s">
        <v>3</v>
      </c>
      <c r="E2" s="7" t="s">
        <v>4</v>
      </c>
      <c r="F2" s="8" t="s">
        <v>5</v>
      </c>
      <c r="G2" s="150" t="s">
        <v>6</v>
      </c>
      <c r="H2" s="151"/>
      <c r="I2" s="151"/>
      <c r="J2" s="151"/>
      <c r="K2" s="152"/>
    </row>
    <row r="3" spans="1:11" ht="12.75">
      <c r="A3" s="9">
        <v>38355</v>
      </c>
      <c r="B3" s="10"/>
      <c r="C3" s="11">
        <v>110</v>
      </c>
      <c r="D3" s="12" t="s">
        <v>7</v>
      </c>
      <c r="E3" s="13">
        <v>4500</v>
      </c>
      <c r="F3" s="14"/>
      <c r="G3" s="16" t="s">
        <v>8</v>
      </c>
      <c r="H3" s="17"/>
      <c r="I3" s="17"/>
      <c r="J3" s="17"/>
      <c r="K3" s="18"/>
    </row>
    <row r="4" spans="1:11" ht="12.75">
      <c r="A4" s="19">
        <v>38355</v>
      </c>
      <c r="B4" s="20" t="s">
        <v>9</v>
      </c>
      <c r="C4" s="21">
        <v>130</v>
      </c>
      <c r="D4" s="22" t="s">
        <v>10</v>
      </c>
      <c r="E4" s="23"/>
      <c r="F4" s="24">
        <v>4500</v>
      </c>
      <c r="G4" s="25"/>
      <c r="H4" s="26"/>
      <c r="I4" s="27"/>
      <c r="J4" s="27"/>
      <c r="K4" s="28"/>
    </row>
    <row r="5" spans="1:11" ht="12.75">
      <c r="A5" s="29">
        <v>38355</v>
      </c>
      <c r="B5" s="30"/>
      <c r="C5" s="31">
        <v>110</v>
      </c>
      <c r="D5" s="32" t="s">
        <v>7</v>
      </c>
      <c r="E5" s="33">
        <v>9000</v>
      </c>
      <c r="F5" s="14"/>
      <c r="G5" s="34" t="s">
        <v>11</v>
      </c>
      <c r="H5" s="35"/>
      <c r="I5" s="35"/>
      <c r="J5" s="35"/>
      <c r="K5" s="36"/>
    </row>
    <row r="6" spans="1:11" ht="12.75">
      <c r="A6" s="19">
        <v>38355</v>
      </c>
      <c r="B6" s="20" t="s">
        <v>9</v>
      </c>
      <c r="C6" s="21">
        <v>130</v>
      </c>
      <c r="D6" s="22" t="s">
        <v>10</v>
      </c>
      <c r="E6" s="23"/>
      <c r="F6" s="24">
        <v>9000</v>
      </c>
      <c r="G6" s="34"/>
      <c r="H6" s="35"/>
      <c r="I6" s="35"/>
      <c r="J6" s="35"/>
      <c r="K6" s="36"/>
    </row>
    <row r="7" spans="1:11" ht="12.75">
      <c r="A7" s="29">
        <v>38356</v>
      </c>
      <c r="B7" s="30"/>
      <c r="C7" s="31">
        <v>470</v>
      </c>
      <c r="D7" s="32" t="s">
        <v>12</v>
      </c>
      <c r="E7" s="33">
        <v>800</v>
      </c>
      <c r="F7" s="14"/>
      <c r="G7" s="37" t="s">
        <v>13</v>
      </c>
      <c r="H7" s="38"/>
      <c r="I7" s="38"/>
      <c r="J7" s="38"/>
      <c r="K7" s="39"/>
    </row>
    <row r="8" spans="1:11" ht="12.75">
      <c r="A8" s="19">
        <v>38356</v>
      </c>
      <c r="B8" s="20" t="s">
        <v>9</v>
      </c>
      <c r="C8" s="21">
        <v>140</v>
      </c>
      <c r="D8" s="22" t="s">
        <v>14</v>
      </c>
      <c r="E8" s="23"/>
      <c r="F8" s="24">
        <v>800</v>
      </c>
      <c r="G8" s="40" t="s">
        <v>15</v>
      </c>
      <c r="H8" s="41"/>
      <c r="I8" s="41"/>
      <c r="J8" s="41"/>
      <c r="K8" s="42"/>
    </row>
    <row r="9" spans="1:11" ht="12.75">
      <c r="A9" s="29">
        <v>38357</v>
      </c>
      <c r="B9" s="30"/>
      <c r="C9" s="31">
        <v>140</v>
      </c>
      <c r="D9" s="32" t="s">
        <v>14</v>
      </c>
      <c r="E9" s="33">
        <v>2700</v>
      </c>
      <c r="F9" s="14"/>
      <c r="G9" s="43" t="s">
        <v>16</v>
      </c>
      <c r="H9" s="15"/>
      <c r="I9" s="35"/>
      <c r="J9" s="15"/>
      <c r="K9" s="44"/>
    </row>
    <row r="10" spans="1:11" ht="12.75">
      <c r="A10" s="19">
        <v>38357</v>
      </c>
      <c r="B10" s="20" t="s">
        <v>9</v>
      </c>
      <c r="C10" s="21">
        <v>110</v>
      </c>
      <c r="D10" s="22" t="s">
        <v>7</v>
      </c>
      <c r="E10" s="23"/>
      <c r="F10" s="24">
        <v>2700</v>
      </c>
      <c r="G10" s="45" t="s">
        <v>17</v>
      </c>
      <c r="H10" s="25"/>
      <c r="I10" s="25"/>
      <c r="J10" s="25"/>
      <c r="K10" s="28"/>
    </row>
    <row r="11" spans="1:11" ht="12.75">
      <c r="A11" s="29">
        <v>38357</v>
      </c>
      <c r="B11" s="30"/>
      <c r="C11" s="31">
        <v>800</v>
      </c>
      <c r="D11" s="32" t="s">
        <v>18</v>
      </c>
      <c r="E11" s="33">
        <v>1200</v>
      </c>
      <c r="F11" s="14"/>
      <c r="G11" s="16" t="s">
        <v>19</v>
      </c>
      <c r="H11" s="17"/>
      <c r="I11" s="17"/>
      <c r="J11" s="46"/>
      <c r="K11" s="44"/>
    </row>
    <row r="12" spans="1:11" ht="12.75">
      <c r="A12" s="29">
        <v>38357</v>
      </c>
      <c r="B12" s="30"/>
      <c r="C12" s="31">
        <v>130</v>
      </c>
      <c r="D12" s="32" t="s">
        <v>10</v>
      </c>
      <c r="E12" s="33">
        <v>3728</v>
      </c>
      <c r="F12" s="14"/>
      <c r="G12" s="43" t="s">
        <v>20</v>
      </c>
      <c r="H12" s="15"/>
      <c r="I12" s="15"/>
      <c r="J12" s="15"/>
      <c r="K12" s="47"/>
    </row>
    <row r="13" spans="1:11" ht="12.75">
      <c r="A13" s="29">
        <v>38357</v>
      </c>
      <c r="B13" s="30" t="s">
        <v>9</v>
      </c>
      <c r="C13" s="31">
        <v>700</v>
      </c>
      <c r="D13" s="32" t="s">
        <v>21</v>
      </c>
      <c r="E13" s="33"/>
      <c r="F13" s="14">
        <f>0.19*1200</f>
        <v>228</v>
      </c>
      <c r="G13" s="15"/>
      <c r="H13" s="15"/>
      <c r="I13" s="15"/>
      <c r="J13" s="15"/>
      <c r="K13" s="44"/>
    </row>
    <row r="14" spans="1:11" ht="12.75">
      <c r="A14" s="29">
        <v>38357</v>
      </c>
      <c r="B14" s="30" t="s">
        <v>9</v>
      </c>
      <c r="C14" s="31" t="s">
        <v>22</v>
      </c>
      <c r="D14" s="32" t="s">
        <v>23</v>
      </c>
      <c r="E14" s="33"/>
      <c r="F14" s="14">
        <v>1200</v>
      </c>
      <c r="G14" s="43" t="s">
        <v>24</v>
      </c>
      <c r="H14" s="15"/>
      <c r="I14" s="15"/>
      <c r="J14" s="46"/>
      <c r="K14" s="44"/>
    </row>
    <row r="15" spans="1:11" ht="12.75">
      <c r="A15" s="19">
        <v>38357</v>
      </c>
      <c r="B15" s="20" t="s">
        <v>9</v>
      </c>
      <c r="C15" s="21">
        <v>840</v>
      </c>
      <c r="D15" s="22" t="s">
        <v>25</v>
      </c>
      <c r="E15" s="23"/>
      <c r="F15" s="24">
        <v>3500</v>
      </c>
      <c r="G15" s="45" t="s">
        <v>26</v>
      </c>
      <c r="H15" s="25"/>
      <c r="I15" s="25"/>
      <c r="J15" s="25"/>
      <c r="K15" s="28"/>
    </row>
    <row r="16" spans="1:11" ht="12.75">
      <c r="A16" s="29">
        <v>38358</v>
      </c>
      <c r="B16" s="30"/>
      <c r="C16" s="31" t="s">
        <v>27</v>
      </c>
      <c r="D16" s="32" t="s">
        <v>28</v>
      </c>
      <c r="E16" s="33">
        <v>2500</v>
      </c>
      <c r="F16" s="14"/>
      <c r="G16" s="16" t="s">
        <v>29</v>
      </c>
      <c r="H16" s="17"/>
      <c r="I16" s="17"/>
      <c r="J16" s="46"/>
      <c r="K16" s="44"/>
    </row>
    <row r="17" spans="1:11" ht="12.75">
      <c r="A17" s="29">
        <v>38358</v>
      </c>
      <c r="B17" s="20" t="s">
        <v>9</v>
      </c>
      <c r="C17" s="21" t="s">
        <v>30</v>
      </c>
      <c r="D17" s="22" t="s">
        <v>7</v>
      </c>
      <c r="E17" s="23"/>
      <c r="F17" s="24">
        <v>2500</v>
      </c>
      <c r="G17" s="45" t="s">
        <v>31</v>
      </c>
      <c r="H17" s="25"/>
      <c r="I17" s="25"/>
      <c r="J17" s="27"/>
      <c r="K17" s="28"/>
    </row>
    <row r="18" spans="1:11" ht="12.75">
      <c r="A18" s="48">
        <v>38360</v>
      </c>
      <c r="B18" s="30"/>
      <c r="C18" s="31" t="s">
        <v>27</v>
      </c>
      <c r="D18" s="32" t="s">
        <v>28</v>
      </c>
      <c r="E18" s="33">
        <v>4500</v>
      </c>
      <c r="F18" s="14"/>
      <c r="G18" s="16" t="s">
        <v>32</v>
      </c>
      <c r="H18" s="17"/>
      <c r="I18" s="17"/>
      <c r="J18" s="17"/>
      <c r="K18" s="18"/>
    </row>
    <row r="19" spans="1:11" ht="12.75">
      <c r="A19" s="29">
        <v>38360</v>
      </c>
      <c r="B19" s="14"/>
      <c r="C19" s="49">
        <v>180</v>
      </c>
      <c r="D19" s="32" t="s">
        <v>33</v>
      </c>
      <c r="E19" s="33">
        <f>0.19*4500</f>
        <v>855</v>
      </c>
      <c r="F19" s="14"/>
      <c r="G19" s="15"/>
      <c r="H19" s="15"/>
      <c r="I19" s="15"/>
      <c r="J19" s="46"/>
      <c r="K19" s="50"/>
    </row>
    <row r="20" spans="1:11" ht="12.75">
      <c r="A20" s="19">
        <v>38360</v>
      </c>
      <c r="B20" s="20" t="s">
        <v>9</v>
      </c>
      <c r="C20" s="21">
        <v>110</v>
      </c>
      <c r="D20" s="22" t="s">
        <v>7</v>
      </c>
      <c r="E20" s="23"/>
      <c r="F20" s="24">
        <f>SUM(E18:E19)</f>
        <v>5355</v>
      </c>
      <c r="G20" s="45" t="s">
        <v>34</v>
      </c>
      <c r="H20" s="25"/>
      <c r="I20" s="25"/>
      <c r="J20" s="27"/>
      <c r="K20" s="51"/>
    </row>
    <row r="21" spans="1:11" ht="12.75">
      <c r="A21" s="29">
        <v>38361</v>
      </c>
      <c r="B21" s="30"/>
      <c r="C21" s="31">
        <v>700</v>
      </c>
      <c r="D21" s="32" t="s">
        <v>21</v>
      </c>
      <c r="E21" s="33">
        <v>1200</v>
      </c>
      <c r="F21" s="14"/>
      <c r="G21" s="43" t="s">
        <v>35</v>
      </c>
      <c r="H21" s="15"/>
      <c r="I21" s="15"/>
      <c r="J21" s="15"/>
      <c r="K21" s="47"/>
    </row>
    <row r="22" spans="1:11" ht="12.75">
      <c r="A22" s="52">
        <v>38361</v>
      </c>
      <c r="B22" s="30"/>
      <c r="C22" s="31" t="s">
        <v>36</v>
      </c>
      <c r="D22" s="32" t="s">
        <v>33</v>
      </c>
      <c r="E22" s="33">
        <f>0.19*E21</f>
        <v>228</v>
      </c>
      <c r="F22" s="14"/>
      <c r="G22" s="15"/>
      <c r="H22" s="53"/>
      <c r="I22" s="46"/>
      <c r="J22" s="46"/>
      <c r="K22" s="44"/>
    </row>
    <row r="23" spans="1:11" ht="12.75">
      <c r="A23" s="19">
        <v>38361</v>
      </c>
      <c r="B23" s="20" t="s">
        <v>9</v>
      </c>
      <c r="C23" s="21">
        <v>140</v>
      </c>
      <c r="D23" s="22" t="s">
        <v>14</v>
      </c>
      <c r="E23" s="23"/>
      <c r="F23" s="24">
        <v>1428</v>
      </c>
      <c r="G23" s="45" t="s">
        <v>37</v>
      </c>
      <c r="H23" s="25"/>
      <c r="I23" s="25"/>
      <c r="J23" s="25"/>
      <c r="K23" s="28"/>
    </row>
    <row r="24" spans="1:11" ht="12.75">
      <c r="A24" s="29">
        <v>38362</v>
      </c>
      <c r="B24" s="30"/>
      <c r="C24" s="31">
        <v>130</v>
      </c>
      <c r="D24" s="32" t="s">
        <v>10</v>
      </c>
      <c r="E24" s="33">
        <v>11000</v>
      </c>
      <c r="F24" s="14"/>
      <c r="G24" s="16" t="s">
        <v>38</v>
      </c>
      <c r="H24" s="17"/>
      <c r="I24" s="17"/>
      <c r="J24" s="46"/>
      <c r="K24" s="50"/>
    </row>
    <row r="25" spans="1:11" ht="12.75">
      <c r="A25" s="52">
        <v>38362</v>
      </c>
      <c r="B25" s="30"/>
      <c r="C25" s="31" t="s">
        <v>22</v>
      </c>
      <c r="D25" s="32" t="s">
        <v>23</v>
      </c>
      <c r="E25" s="33"/>
      <c r="F25" s="54">
        <f>0.19*11000</f>
        <v>2090</v>
      </c>
      <c r="G25" s="15"/>
      <c r="H25" s="53"/>
      <c r="I25" s="35"/>
      <c r="J25" s="35"/>
      <c r="K25" s="50"/>
    </row>
    <row r="26" spans="1:11" ht="12.75">
      <c r="A26" s="19">
        <v>38362</v>
      </c>
      <c r="B26" s="20" t="s">
        <v>9</v>
      </c>
      <c r="C26" s="21">
        <v>840</v>
      </c>
      <c r="D26" s="22" t="s">
        <v>25</v>
      </c>
      <c r="E26" s="23"/>
      <c r="F26" s="55">
        <v>8910</v>
      </c>
      <c r="G26" s="43" t="s">
        <v>39</v>
      </c>
      <c r="H26" s="15"/>
      <c r="I26" s="46"/>
      <c r="J26" s="27"/>
      <c r="K26" s="51"/>
    </row>
    <row r="27" spans="1:11" ht="12.75">
      <c r="A27" s="29">
        <v>38363</v>
      </c>
      <c r="B27" s="30"/>
      <c r="C27" s="31">
        <v>130</v>
      </c>
      <c r="D27" s="32" t="s">
        <v>10</v>
      </c>
      <c r="E27" s="33">
        <v>5850</v>
      </c>
      <c r="F27" s="14"/>
      <c r="G27" s="16" t="s">
        <v>40</v>
      </c>
      <c r="H27" s="17"/>
      <c r="I27" s="17"/>
      <c r="J27" s="15"/>
      <c r="K27" s="44"/>
    </row>
    <row r="28" spans="1:11" ht="12.75">
      <c r="A28" s="52">
        <v>38363</v>
      </c>
      <c r="B28" s="30"/>
      <c r="C28" s="31" t="s">
        <v>22</v>
      </c>
      <c r="D28" s="32" t="s">
        <v>23</v>
      </c>
      <c r="E28" s="33"/>
      <c r="F28" s="14">
        <f>0.19*5850</f>
        <v>1111.5</v>
      </c>
      <c r="G28" s="15"/>
      <c r="H28" s="53"/>
      <c r="I28" s="46"/>
      <c r="J28" s="46"/>
      <c r="K28" s="44"/>
    </row>
    <row r="29" spans="1:11" ht="12.75">
      <c r="A29" s="19">
        <v>38363</v>
      </c>
      <c r="B29" s="20" t="s">
        <v>9</v>
      </c>
      <c r="C29" s="21">
        <v>840</v>
      </c>
      <c r="D29" s="22" t="s">
        <v>25</v>
      </c>
      <c r="E29" s="23"/>
      <c r="F29" s="24">
        <v>4738.5</v>
      </c>
      <c r="G29" s="45" t="s">
        <v>39</v>
      </c>
      <c r="H29" s="25"/>
      <c r="I29" s="25"/>
      <c r="J29" s="27"/>
      <c r="K29" s="28"/>
    </row>
    <row r="30" spans="1:11" ht="12.75">
      <c r="A30" s="29">
        <v>38364</v>
      </c>
      <c r="B30" s="30"/>
      <c r="C30" s="31">
        <v>800</v>
      </c>
      <c r="D30" s="32" t="s">
        <v>18</v>
      </c>
      <c r="E30" s="33">
        <v>1200</v>
      </c>
      <c r="F30" s="14"/>
      <c r="G30" s="16" t="s">
        <v>19</v>
      </c>
      <c r="H30" s="17"/>
      <c r="I30" s="17"/>
      <c r="J30" s="46"/>
      <c r="K30" s="50"/>
    </row>
    <row r="31" spans="1:11" ht="12.75">
      <c r="A31" s="29">
        <v>38364</v>
      </c>
      <c r="B31" s="30"/>
      <c r="C31" s="31">
        <v>130</v>
      </c>
      <c r="D31" s="32" t="s">
        <v>10</v>
      </c>
      <c r="E31" s="33">
        <v>3728</v>
      </c>
      <c r="F31" s="14"/>
      <c r="G31" s="43" t="s">
        <v>20</v>
      </c>
      <c r="H31" s="15"/>
      <c r="I31" s="15"/>
      <c r="J31" s="15"/>
      <c r="K31" s="47"/>
    </row>
    <row r="32" spans="1:11" ht="12.75">
      <c r="A32" s="52">
        <v>38364</v>
      </c>
      <c r="B32" s="30" t="s">
        <v>9</v>
      </c>
      <c r="C32" s="31" t="s">
        <v>22</v>
      </c>
      <c r="D32" s="32" t="s">
        <v>23</v>
      </c>
      <c r="E32" s="33"/>
      <c r="F32" s="14">
        <f>0.19*E30</f>
        <v>228</v>
      </c>
      <c r="G32" s="15"/>
      <c r="H32" s="15"/>
      <c r="I32" s="15"/>
      <c r="J32" s="46"/>
      <c r="K32" s="50"/>
    </row>
    <row r="33" spans="1:11" ht="12.75">
      <c r="A33" s="29">
        <v>38364</v>
      </c>
      <c r="B33" s="30" t="s">
        <v>9</v>
      </c>
      <c r="C33" s="31">
        <v>700</v>
      </c>
      <c r="D33" s="32" t="s">
        <v>21</v>
      </c>
      <c r="E33" s="33"/>
      <c r="F33" s="14">
        <v>1200</v>
      </c>
      <c r="G33" s="43" t="s">
        <v>24</v>
      </c>
      <c r="H33" s="15"/>
      <c r="I33" s="15"/>
      <c r="J33" s="46"/>
      <c r="K33" s="50"/>
    </row>
    <row r="34" spans="1:11" ht="12.75">
      <c r="A34" s="29">
        <v>38364</v>
      </c>
      <c r="B34" s="30" t="s">
        <v>9</v>
      </c>
      <c r="C34" s="31">
        <v>840</v>
      </c>
      <c r="D34" s="32" t="s">
        <v>25</v>
      </c>
      <c r="E34" s="33"/>
      <c r="F34" s="14">
        <v>3500</v>
      </c>
      <c r="G34" s="45" t="s">
        <v>26</v>
      </c>
      <c r="H34" s="25"/>
      <c r="I34" s="25"/>
      <c r="J34" s="25"/>
      <c r="K34" s="51"/>
    </row>
    <row r="35" spans="1:11" ht="12.75">
      <c r="A35" s="9">
        <v>38365</v>
      </c>
      <c r="B35" s="10"/>
      <c r="C35" s="11">
        <v>800</v>
      </c>
      <c r="D35" s="12" t="s">
        <v>18</v>
      </c>
      <c r="E35" s="13">
        <v>1200</v>
      </c>
      <c r="F35" s="56"/>
      <c r="G35" s="16" t="s">
        <v>19</v>
      </c>
      <c r="H35" s="17"/>
      <c r="I35" s="17"/>
      <c r="J35" s="46"/>
      <c r="K35" s="50"/>
    </row>
    <row r="36" spans="1:11" ht="12.75">
      <c r="A36" s="29">
        <v>38365</v>
      </c>
      <c r="B36" s="30"/>
      <c r="C36" s="31">
        <v>130</v>
      </c>
      <c r="D36" s="32" t="s">
        <v>10</v>
      </c>
      <c r="E36" s="33">
        <v>3728</v>
      </c>
      <c r="F36" s="14"/>
      <c r="G36" s="43" t="s">
        <v>20</v>
      </c>
      <c r="H36" s="15"/>
      <c r="I36" s="15"/>
      <c r="J36" s="15"/>
      <c r="K36" s="47"/>
    </row>
    <row r="37" spans="1:11" ht="12.75">
      <c r="A37" s="29">
        <v>38365</v>
      </c>
      <c r="B37" s="30" t="s">
        <v>9</v>
      </c>
      <c r="C37" s="31" t="s">
        <v>22</v>
      </c>
      <c r="D37" s="32" t="s">
        <v>23</v>
      </c>
      <c r="E37" s="33"/>
      <c r="F37" s="14">
        <v>1200</v>
      </c>
      <c r="G37" s="43" t="s">
        <v>24</v>
      </c>
      <c r="H37" s="15"/>
      <c r="I37" s="15"/>
      <c r="J37" s="46"/>
      <c r="K37" s="50"/>
    </row>
    <row r="38" spans="1:11" ht="12.75">
      <c r="A38" s="52">
        <v>38365</v>
      </c>
      <c r="B38" s="30" t="s">
        <v>9</v>
      </c>
      <c r="C38" s="31">
        <v>700</v>
      </c>
      <c r="D38" s="32" t="s">
        <v>21</v>
      </c>
      <c r="E38" s="33"/>
      <c r="F38" s="14">
        <f>0.19*1200</f>
        <v>228</v>
      </c>
      <c r="G38" s="15"/>
      <c r="H38" s="15"/>
      <c r="I38" s="15"/>
      <c r="J38" s="15"/>
      <c r="K38" s="44"/>
    </row>
    <row r="39" spans="1:11" ht="12.75">
      <c r="A39" s="19">
        <v>38365</v>
      </c>
      <c r="B39" s="20" t="s">
        <v>9</v>
      </c>
      <c r="C39" s="21">
        <v>840</v>
      </c>
      <c r="D39" s="22" t="s">
        <v>25</v>
      </c>
      <c r="E39" s="23"/>
      <c r="F39" s="24">
        <v>3500</v>
      </c>
      <c r="G39" s="45" t="s">
        <v>26</v>
      </c>
      <c r="H39" s="25"/>
      <c r="I39" s="25"/>
      <c r="J39" s="25"/>
      <c r="K39" s="51"/>
    </row>
    <row r="40" spans="1:11" ht="12.75">
      <c r="A40" s="29">
        <v>38366</v>
      </c>
      <c r="B40" s="30"/>
      <c r="C40" s="31">
        <v>500</v>
      </c>
      <c r="D40" s="32" t="s">
        <v>41</v>
      </c>
      <c r="E40" s="33">
        <v>2500</v>
      </c>
      <c r="F40" s="14"/>
      <c r="G40" s="43" t="s">
        <v>42</v>
      </c>
      <c r="H40" s="15"/>
      <c r="I40" s="46"/>
      <c r="J40" s="46"/>
      <c r="K40" s="50"/>
    </row>
    <row r="41" spans="1:11" ht="12.75">
      <c r="A41" s="19">
        <v>38366</v>
      </c>
      <c r="B41" s="20" t="s">
        <v>9</v>
      </c>
      <c r="C41" s="21">
        <v>110</v>
      </c>
      <c r="D41" s="22" t="s">
        <v>7</v>
      </c>
      <c r="E41" s="23"/>
      <c r="F41" s="24">
        <v>2500</v>
      </c>
      <c r="G41" s="15" t="s">
        <v>43</v>
      </c>
      <c r="H41" s="53"/>
      <c r="I41" s="46"/>
      <c r="J41" s="46"/>
      <c r="K41" s="50"/>
    </row>
    <row r="42" spans="1:11" ht="12.75">
      <c r="A42" s="29">
        <v>38367</v>
      </c>
      <c r="B42" s="30"/>
      <c r="C42" s="31">
        <v>400</v>
      </c>
      <c r="D42" s="32" t="s">
        <v>44</v>
      </c>
      <c r="E42" s="57">
        <v>11206</v>
      </c>
      <c r="F42" s="54"/>
      <c r="G42" s="16" t="s">
        <v>45</v>
      </c>
      <c r="H42" s="17"/>
      <c r="I42" s="58"/>
      <c r="J42" s="58"/>
      <c r="K42" s="59"/>
    </row>
    <row r="43" spans="1:11" ht="12.75">
      <c r="A43" s="19">
        <v>38367</v>
      </c>
      <c r="B43" s="20" t="s">
        <v>9</v>
      </c>
      <c r="C43" s="21">
        <v>110</v>
      </c>
      <c r="D43" s="22" t="s">
        <v>7</v>
      </c>
      <c r="E43" s="60"/>
      <c r="F43" s="55">
        <v>11206</v>
      </c>
      <c r="G43" s="25" t="s">
        <v>46</v>
      </c>
      <c r="H43" s="26"/>
      <c r="I43" s="27"/>
      <c r="J43" s="27"/>
      <c r="K43" s="28"/>
    </row>
    <row r="44" spans="1:11" ht="12.75">
      <c r="A44" s="61">
        <v>38367</v>
      </c>
      <c r="B44" s="62"/>
      <c r="C44" s="63">
        <v>410</v>
      </c>
      <c r="D44" s="64" t="s">
        <v>47</v>
      </c>
      <c r="E44" s="65">
        <v>3864</v>
      </c>
      <c r="F44" s="66"/>
      <c r="G44" s="16" t="s">
        <v>48</v>
      </c>
      <c r="H44" s="17"/>
      <c r="I44" s="17"/>
      <c r="J44" s="17"/>
      <c r="K44" s="50"/>
    </row>
    <row r="45" spans="1:11" ht="12.75">
      <c r="A45" s="67">
        <v>38367</v>
      </c>
      <c r="B45" s="68" t="s">
        <v>9</v>
      </c>
      <c r="C45" s="69">
        <v>110</v>
      </c>
      <c r="D45" s="22" t="s">
        <v>7</v>
      </c>
      <c r="E45" s="70"/>
      <c r="F45" s="71">
        <v>3864</v>
      </c>
      <c r="G45" s="15" t="s">
        <v>46</v>
      </c>
      <c r="H45" s="53"/>
      <c r="I45" s="46"/>
      <c r="J45" s="46"/>
      <c r="K45" s="50"/>
    </row>
    <row r="46" spans="1:11" ht="12.75">
      <c r="A46" s="29">
        <v>38367</v>
      </c>
      <c r="B46" s="30"/>
      <c r="C46" s="31">
        <v>140</v>
      </c>
      <c r="D46" s="32" t="s">
        <v>14</v>
      </c>
      <c r="E46" s="33">
        <v>2700</v>
      </c>
      <c r="F46" s="14"/>
      <c r="G46" s="16" t="s">
        <v>16</v>
      </c>
      <c r="H46" s="17"/>
      <c r="I46" s="17"/>
      <c r="J46" s="17"/>
      <c r="K46" s="18"/>
    </row>
    <row r="47" spans="1:11" ht="12.75">
      <c r="A47" s="19">
        <v>38367</v>
      </c>
      <c r="B47" s="20" t="s">
        <v>9</v>
      </c>
      <c r="C47" s="21">
        <v>110</v>
      </c>
      <c r="D47" s="22" t="s">
        <v>7</v>
      </c>
      <c r="E47" s="23"/>
      <c r="F47" s="24">
        <v>2700</v>
      </c>
      <c r="G47" s="45" t="s">
        <v>17</v>
      </c>
      <c r="H47" s="25"/>
      <c r="I47" s="25"/>
      <c r="J47" s="25"/>
      <c r="K47" s="28"/>
    </row>
    <row r="48" spans="1:11" ht="12.75">
      <c r="A48" s="61">
        <v>38370</v>
      </c>
      <c r="B48" s="62"/>
      <c r="C48" s="63" t="s">
        <v>27</v>
      </c>
      <c r="D48" s="64" t="s">
        <v>28</v>
      </c>
      <c r="E48" s="72">
        <v>5000</v>
      </c>
      <c r="F48" s="73"/>
      <c r="G48" s="16" t="s">
        <v>49</v>
      </c>
      <c r="H48" s="17"/>
      <c r="I48" s="17"/>
      <c r="J48" s="17"/>
      <c r="K48" s="18"/>
    </row>
    <row r="49" spans="1:11" ht="12.75">
      <c r="A49" s="67">
        <v>38370</v>
      </c>
      <c r="B49" s="68" t="s">
        <v>9</v>
      </c>
      <c r="C49" s="69">
        <v>110</v>
      </c>
      <c r="D49" s="22" t="s">
        <v>7</v>
      </c>
      <c r="E49" s="74"/>
      <c r="F49" s="75">
        <v>5000</v>
      </c>
      <c r="G49" s="45" t="s">
        <v>50</v>
      </c>
      <c r="H49" s="25"/>
      <c r="I49" s="25"/>
      <c r="J49" s="27"/>
      <c r="K49" s="51"/>
    </row>
    <row r="50" spans="2:6" ht="11.25" customHeight="1">
      <c r="B50" s="76"/>
      <c r="E50" s="70">
        <f>SUM(E3:E49)</f>
        <v>83187</v>
      </c>
      <c r="F50" s="71">
        <f>SUM(F3:F49)</f>
        <v>83187</v>
      </c>
    </row>
    <row r="51" ht="11.25" customHeight="1"/>
    <row r="52" ht="11.25" customHeight="1">
      <c r="E52" s="77"/>
    </row>
    <row r="54" ht="11.25" customHeight="1"/>
  </sheetData>
  <sheetProtection password="EC74" sheet="1" objects="1" scenarios="1"/>
  <mergeCells count="2">
    <mergeCell ref="A1:F1"/>
    <mergeCell ref="G2:K2"/>
  </mergeCells>
  <printOptions/>
  <pageMargins left="0.79" right="0.79" top="0.98" bottom="0.9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7"/>
  <sheetViews>
    <sheetView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21.00390625" style="0" customWidth="1"/>
    <col min="3" max="3" width="12.57421875" style="0" customWidth="1"/>
    <col min="4" max="4" width="12.8515625" style="0" customWidth="1"/>
    <col min="5" max="5" width="14.8515625" style="0" customWidth="1"/>
    <col min="6" max="8" width="12.00390625" style="0" customWidth="1"/>
    <col min="9" max="9" width="14.7109375" style="0" customWidth="1"/>
    <col min="10" max="10" width="13.00390625" style="0" customWidth="1"/>
  </cols>
  <sheetData>
    <row r="5" spans="1:10" ht="12.75">
      <c r="A5" s="79" t="s">
        <v>2</v>
      </c>
      <c r="B5" s="78" t="s">
        <v>51</v>
      </c>
      <c r="C5" s="150" t="s">
        <v>52</v>
      </c>
      <c r="D5" s="152"/>
      <c r="E5" s="153" t="s">
        <v>53</v>
      </c>
      <c r="F5" s="152"/>
      <c r="G5" s="153" t="s">
        <v>54</v>
      </c>
      <c r="H5" s="152"/>
      <c r="I5" s="153" t="s">
        <v>55</v>
      </c>
      <c r="J5" s="152"/>
    </row>
    <row r="6" spans="1:10" ht="12.75">
      <c r="A6" s="80" t="s">
        <v>27</v>
      </c>
      <c r="B6" s="81" t="s">
        <v>28</v>
      </c>
      <c r="C6" s="82">
        <f>SUMIF(post,A6,debet)+C29</f>
        <v>32000</v>
      </c>
      <c r="D6" s="82">
        <f>SUMIF(post,A6,credit)</f>
        <v>0</v>
      </c>
      <c r="E6" s="83">
        <f>C6-D6</f>
        <v>32000</v>
      </c>
      <c r="F6" s="83"/>
      <c r="G6" s="82"/>
      <c r="H6" s="82"/>
      <c r="I6" s="83">
        <f>C29+(SUMIF(post,A6,debet))-SUMIF(post,A6,credit)</f>
        <v>32000</v>
      </c>
      <c r="J6" s="83"/>
    </row>
    <row r="7" spans="1:10" ht="12.75">
      <c r="A7" s="80" t="s">
        <v>56</v>
      </c>
      <c r="B7" s="81" t="s">
        <v>21</v>
      </c>
      <c r="C7" s="82">
        <f>SUMIF(post,A7,debet)+C30</f>
        <v>31200</v>
      </c>
      <c r="D7" s="82">
        <f>SUMIF(post,A7,credit)</f>
        <v>1656</v>
      </c>
      <c r="E7" s="84">
        <f>C7-D7</f>
        <v>29544</v>
      </c>
      <c r="F7" s="84"/>
      <c r="G7" s="82"/>
      <c r="H7" s="82"/>
      <c r="I7" s="83">
        <f>C30+(SUMIF(post,A7,debet))-SUMIF(post,A7,credit)</f>
        <v>29544</v>
      </c>
      <c r="J7" s="84"/>
    </row>
    <row r="8" spans="1:10" ht="12.75">
      <c r="A8" s="80">
        <v>130</v>
      </c>
      <c r="B8" s="81" t="s">
        <v>10</v>
      </c>
      <c r="C8" s="82">
        <f>SUMIF(post,A8,debet)+C31</f>
        <v>48034</v>
      </c>
      <c r="D8" s="82">
        <f>SUMIF(post,A8,credit)</f>
        <v>13500</v>
      </c>
      <c r="E8" s="83">
        <f>C8-D8</f>
        <v>34534</v>
      </c>
      <c r="F8" s="84"/>
      <c r="G8" s="82"/>
      <c r="H8" s="82"/>
      <c r="I8" s="83">
        <f>C31+(SUMIF(post,A8,debet))-SUMIF(post,A8,credit)</f>
        <v>34534</v>
      </c>
      <c r="J8" s="84"/>
    </row>
    <row r="9" spans="1:10" ht="12.75">
      <c r="A9" s="80">
        <v>110</v>
      </c>
      <c r="B9" s="81" t="s">
        <v>7</v>
      </c>
      <c r="C9" s="82">
        <f>SUMIF(post,A9,debet)+C32</f>
        <v>68500</v>
      </c>
      <c r="D9" s="82">
        <f>SUMIF(post,A9,credit)</f>
        <v>35825</v>
      </c>
      <c r="E9" s="83">
        <f>C9-D9</f>
        <v>32675</v>
      </c>
      <c r="F9" s="84"/>
      <c r="G9" s="82"/>
      <c r="H9" s="82"/>
      <c r="I9" s="83">
        <f>C32+(SUMIF(post,A9,debet))-SUMIF(post,A9,credit)</f>
        <v>32675</v>
      </c>
      <c r="J9" s="84"/>
    </row>
    <row r="10" spans="1:10" ht="12.75">
      <c r="A10" s="80" t="s">
        <v>57</v>
      </c>
      <c r="B10" s="85" t="s">
        <v>58</v>
      </c>
      <c r="C10" s="82"/>
      <c r="D10" s="82">
        <f>EV_1_jan_05</f>
        <v>109000</v>
      </c>
      <c r="E10" s="83"/>
      <c r="F10" s="84">
        <f>EV_1_jan_05</f>
        <v>109000</v>
      </c>
      <c r="G10" s="82"/>
      <c r="H10" s="82"/>
      <c r="I10" s="84"/>
      <c r="J10" s="84">
        <f>EV_1_jan_05+G20</f>
        <v>111178.5</v>
      </c>
    </row>
    <row r="11" spans="1:10" ht="12.75">
      <c r="A11" s="80">
        <v>140</v>
      </c>
      <c r="B11" s="85" t="s">
        <v>14</v>
      </c>
      <c r="C11" s="82">
        <f>SUMIF(post,A11,debet)</f>
        <v>5400</v>
      </c>
      <c r="D11" s="82">
        <f>SUMIF(post,A11,credit)+F30</f>
        <v>18228</v>
      </c>
      <c r="E11" s="83"/>
      <c r="F11" s="84">
        <f>D11-C11</f>
        <v>12828</v>
      </c>
      <c r="G11" s="82"/>
      <c r="H11" s="82"/>
      <c r="I11" s="84"/>
      <c r="J11" s="84">
        <f>F30+SUMIF(post,D30,credit)-SUMIF(post,D30,debet)</f>
        <v>12828</v>
      </c>
    </row>
    <row r="12" spans="1:10" ht="12.75">
      <c r="A12" s="80" t="s">
        <v>36</v>
      </c>
      <c r="B12" s="85" t="s">
        <v>33</v>
      </c>
      <c r="C12" s="82">
        <f>SUMIF(post,A12,debet)</f>
        <v>1083</v>
      </c>
      <c r="D12" s="82"/>
      <c r="E12" s="83">
        <f>C12-D12</f>
        <v>1083</v>
      </c>
      <c r="F12" s="84"/>
      <c r="G12" s="82"/>
      <c r="H12" s="82"/>
      <c r="I12" s="84">
        <f>E12</f>
        <v>1083</v>
      </c>
      <c r="J12" s="84"/>
    </row>
    <row r="13" spans="1:10" ht="12.75">
      <c r="A13" s="80" t="s">
        <v>22</v>
      </c>
      <c r="B13" s="85" t="s">
        <v>23</v>
      </c>
      <c r="C13" s="82"/>
      <c r="D13" s="82">
        <f aca="true" t="shared" si="0" ref="D13:D19">SUMIF(post,A13,credit)</f>
        <v>5829.5</v>
      </c>
      <c r="E13" s="83"/>
      <c r="F13" s="84">
        <f>D13-C13</f>
        <v>5829.5</v>
      </c>
      <c r="G13" s="82"/>
      <c r="H13" s="82"/>
      <c r="I13" s="84"/>
      <c r="J13" s="84">
        <f>F13</f>
        <v>5829.5</v>
      </c>
    </row>
    <row r="14" spans="1:10" ht="12.75">
      <c r="A14" s="80">
        <v>840</v>
      </c>
      <c r="B14" s="85" t="s">
        <v>25</v>
      </c>
      <c r="C14" s="82">
        <f aca="true" t="shared" si="1" ref="C14:C19">SUMIF(post,A14,debet)</f>
        <v>0</v>
      </c>
      <c r="D14" s="82">
        <f t="shared" si="0"/>
        <v>24148.5</v>
      </c>
      <c r="E14" s="84"/>
      <c r="F14" s="84">
        <f>D14</f>
        <v>24148.5</v>
      </c>
      <c r="G14" s="82"/>
      <c r="H14" s="82">
        <f>SUMIF(post,A14,credit)</f>
        <v>24148.5</v>
      </c>
      <c r="I14" s="84"/>
      <c r="J14" s="84"/>
    </row>
    <row r="15" spans="1:10" ht="12.75">
      <c r="A15" s="80">
        <v>800</v>
      </c>
      <c r="B15" s="85" t="s">
        <v>59</v>
      </c>
      <c r="C15" s="82">
        <f t="shared" si="1"/>
        <v>3600</v>
      </c>
      <c r="D15" s="82">
        <f t="shared" si="0"/>
        <v>0</v>
      </c>
      <c r="E15" s="84">
        <f>C15-D15</f>
        <v>3600</v>
      </c>
      <c r="F15" s="84"/>
      <c r="G15" s="82">
        <f>SUMIF(post,A15,debet)</f>
        <v>3600</v>
      </c>
      <c r="H15" s="82"/>
      <c r="I15" s="84"/>
      <c r="J15" s="84"/>
    </row>
    <row r="16" spans="1:10" ht="12.75">
      <c r="A16" s="80">
        <v>400</v>
      </c>
      <c r="B16" s="85" t="s">
        <v>44</v>
      </c>
      <c r="C16" s="82">
        <f t="shared" si="1"/>
        <v>11206</v>
      </c>
      <c r="D16" s="82">
        <f t="shared" si="0"/>
        <v>0</v>
      </c>
      <c r="E16" s="84">
        <f>C16-D16</f>
        <v>11206</v>
      </c>
      <c r="F16" s="84"/>
      <c r="G16" s="82">
        <f>SUMIF(post,A16,debet)</f>
        <v>11206</v>
      </c>
      <c r="H16" s="82"/>
      <c r="I16" s="84"/>
      <c r="J16" s="84"/>
    </row>
    <row r="17" spans="1:10" ht="12.75">
      <c r="A17" s="80">
        <v>410</v>
      </c>
      <c r="B17" s="85" t="s">
        <v>60</v>
      </c>
      <c r="C17" s="82">
        <f t="shared" si="1"/>
        <v>3864</v>
      </c>
      <c r="D17" s="82">
        <f t="shared" si="0"/>
        <v>0</v>
      </c>
      <c r="E17" s="84">
        <f>C17-D17</f>
        <v>3864</v>
      </c>
      <c r="F17" s="84"/>
      <c r="G17" s="82">
        <f>SUMIF(post,A17,debet)</f>
        <v>3864</v>
      </c>
      <c r="H17" s="82"/>
      <c r="I17" s="84"/>
      <c r="J17" s="84"/>
    </row>
    <row r="18" spans="1:10" ht="12.75">
      <c r="A18" s="80">
        <v>470</v>
      </c>
      <c r="B18" s="85" t="s">
        <v>12</v>
      </c>
      <c r="C18" s="82">
        <f t="shared" si="1"/>
        <v>800</v>
      </c>
      <c r="D18" s="82">
        <f t="shared" si="0"/>
        <v>0</v>
      </c>
      <c r="E18" s="84">
        <f>C18-D18</f>
        <v>800</v>
      </c>
      <c r="F18" s="84"/>
      <c r="G18" s="82">
        <f>SUMIF(post,A18,debet)</f>
        <v>800</v>
      </c>
      <c r="H18" s="82"/>
      <c r="I18" s="84"/>
      <c r="J18" s="84"/>
    </row>
    <row r="19" spans="1:10" ht="12.75">
      <c r="A19" s="80">
        <v>500</v>
      </c>
      <c r="B19" s="85" t="s">
        <v>61</v>
      </c>
      <c r="C19" s="82">
        <f t="shared" si="1"/>
        <v>2500</v>
      </c>
      <c r="D19" s="82">
        <f t="shared" si="0"/>
        <v>0</v>
      </c>
      <c r="E19" s="84">
        <f>C19-D19</f>
        <v>2500</v>
      </c>
      <c r="F19" s="84"/>
      <c r="G19" s="82">
        <f>SUMIF(post,A19,debet)</f>
        <v>2500</v>
      </c>
      <c r="H19" s="82"/>
      <c r="I19" s="84"/>
      <c r="J19" s="84"/>
    </row>
    <row r="20" spans="1:10" ht="12.75">
      <c r="A20" s="80" t="s">
        <v>62</v>
      </c>
      <c r="B20" s="86"/>
      <c r="C20" s="82"/>
      <c r="D20" s="82"/>
      <c r="E20" s="84"/>
      <c r="F20" s="84"/>
      <c r="G20" s="82">
        <f>H14-(SUM(G15:G19))</f>
        <v>2178.5</v>
      </c>
      <c r="H20" s="82"/>
      <c r="I20" s="84"/>
      <c r="J20" s="84"/>
    </row>
    <row r="21" spans="1:10" ht="12.75">
      <c r="A21" s="80" t="s">
        <v>63</v>
      </c>
      <c r="B21" s="87"/>
      <c r="C21" s="88">
        <f>SUM(C6:C20)</f>
        <v>208187</v>
      </c>
      <c r="D21" s="82">
        <f>SUM(D6:D20)</f>
        <v>208187</v>
      </c>
      <c r="E21" s="84">
        <f>SUM(E6:E20)</f>
        <v>151806</v>
      </c>
      <c r="F21" s="84">
        <f>SUM(F6:F20)</f>
        <v>151806</v>
      </c>
      <c r="G21" s="82">
        <f>SUM(G15:G20)</f>
        <v>24148.5</v>
      </c>
      <c r="H21" s="82">
        <f>SUM(H14:H20)</f>
        <v>24148.5</v>
      </c>
      <c r="I21" s="84">
        <f>SUM(I6:I20)</f>
        <v>129836</v>
      </c>
      <c r="J21" s="84">
        <f>SUM(J6:J20)</f>
        <v>129836</v>
      </c>
    </row>
    <row r="23" spans="1:2" ht="12.75">
      <c r="A23" s="89"/>
      <c r="B23" s="89"/>
    </row>
    <row r="27" spans="1:2" ht="12.75">
      <c r="A27" s="89"/>
      <c r="B27" s="89"/>
    </row>
    <row r="28" spans="1:6" ht="12.75">
      <c r="A28" s="150" t="s">
        <v>64</v>
      </c>
      <c r="B28" s="151"/>
      <c r="C28" s="151"/>
      <c r="D28" s="151"/>
      <c r="E28" s="151"/>
      <c r="F28" s="152"/>
    </row>
    <row r="29" spans="1:6" ht="12.75">
      <c r="A29" s="80" t="s">
        <v>27</v>
      </c>
      <c r="B29" s="85" t="s">
        <v>65</v>
      </c>
      <c r="C29" s="90">
        <v>20000</v>
      </c>
      <c r="D29" s="91"/>
      <c r="E29" s="85" t="s">
        <v>57</v>
      </c>
      <c r="F29" s="90">
        <v>109000</v>
      </c>
    </row>
    <row r="30" spans="1:6" ht="12.75">
      <c r="A30" s="80">
        <v>700</v>
      </c>
      <c r="B30" s="85" t="s">
        <v>66</v>
      </c>
      <c r="C30" s="90">
        <v>30000</v>
      </c>
      <c r="D30" s="91">
        <v>140</v>
      </c>
      <c r="E30" s="85" t="s">
        <v>67</v>
      </c>
      <c r="F30" s="90">
        <v>16000</v>
      </c>
    </row>
    <row r="31" spans="1:6" ht="12.75">
      <c r="A31" s="80">
        <v>130</v>
      </c>
      <c r="B31" s="85" t="s">
        <v>68</v>
      </c>
      <c r="C31" s="90">
        <v>20000</v>
      </c>
      <c r="D31" s="91"/>
      <c r="E31" s="85"/>
      <c r="F31" s="90"/>
    </row>
    <row r="32" spans="1:6" ht="12.75">
      <c r="A32" s="80">
        <v>110</v>
      </c>
      <c r="B32" s="85" t="s">
        <v>69</v>
      </c>
      <c r="C32" s="90">
        <v>55000</v>
      </c>
      <c r="D32" s="91"/>
      <c r="E32" s="85"/>
      <c r="F32" s="90"/>
    </row>
    <row r="33" spans="1:6" ht="12.75">
      <c r="A33" s="80"/>
      <c r="B33" s="85" t="s">
        <v>70</v>
      </c>
      <c r="C33" s="90">
        <v>125000</v>
      </c>
      <c r="D33" s="91"/>
      <c r="E33" s="85"/>
      <c r="F33" s="90">
        <v>125000</v>
      </c>
    </row>
    <row r="34" ht="12.75">
      <c r="A34" s="89"/>
    </row>
    <row r="35" ht="12.75">
      <c r="A35" s="89"/>
    </row>
    <row r="36" ht="12.75">
      <c r="A36" s="89"/>
    </row>
    <row r="37" ht="12.75">
      <c r="A37" s="89"/>
    </row>
  </sheetData>
  <sheetProtection/>
  <mergeCells count="5">
    <mergeCell ref="I5:J5"/>
    <mergeCell ref="A28:F28"/>
    <mergeCell ref="C5:D5"/>
    <mergeCell ref="E5:F5"/>
    <mergeCell ref="G5:H5"/>
  </mergeCells>
  <printOptions/>
  <pageMargins left="0.79" right="0.79" top="0.98" bottom="0.98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J6" sqref="J6"/>
    </sheetView>
  </sheetViews>
  <sheetFormatPr defaultColWidth="9.140625" defaultRowHeight="12.75"/>
  <cols>
    <col min="1" max="1" width="2.140625" style="0" customWidth="1"/>
    <col min="2" max="2" width="23.28125" style="0" customWidth="1"/>
    <col min="3" max="3" width="12.8515625" style="0" customWidth="1"/>
    <col min="4" max="4" width="9.57421875" style="0" customWidth="1"/>
    <col min="6" max="6" width="11.00390625" style="0" customWidth="1"/>
    <col min="7" max="7" width="11.28125" style="0" customWidth="1"/>
    <col min="8" max="8" width="13.7109375" style="0" customWidth="1"/>
    <col min="9" max="9" width="12.8515625" style="0" customWidth="1"/>
    <col min="10" max="10" width="16.28125" style="0" customWidth="1"/>
    <col min="11" max="11" width="15.7109375" style="0" customWidth="1"/>
  </cols>
  <sheetData>
    <row r="1" spans="2:10" ht="63.75">
      <c r="B1" s="92" t="s">
        <v>71</v>
      </c>
      <c r="C1" s="93" t="s">
        <v>72</v>
      </c>
      <c r="D1" s="93" t="s">
        <v>73</v>
      </c>
      <c r="E1" s="93" t="s">
        <v>74</v>
      </c>
      <c r="F1" s="93" t="s">
        <v>75</v>
      </c>
      <c r="G1" s="93" t="s">
        <v>76</v>
      </c>
      <c r="H1" s="93" t="s">
        <v>77</v>
      </c>
      <c r="I1" s="93" t="s">
        <v>78</v>
      </c>
      <c r="J1" s="93" t="s">
        <v>79</v>
      </c>
    </row>
    <row r="2" spans="2:10" ht="12.75">
      <c r="B2" s="94" t="s">
        <v>80</v>
      </c>
      <c r="C2" s="75">
        <v>1</v>
      </c>
      <c r="D2" s="84">
        <v>35</v>
      </c>
      <c r="E2" s="84">
        <f>D2*0.58</f>
        <v>20.299999999999997</v>
      </c>
      <c r="F2" s="95">
        <f>C2*D2*D9</f>
        <v>4900</v>
      </c>
      <c r="G2" s="84">
        <f>C2*E2*D9</f>
        <v>2841.9999999999995</v>
      </c>
      <c r="H2" s="84">
        <f>0.1*F2</f>
        <v>490</v>
      </c>
      <c r="I2" s="84">
        <f>F2*12</f>
        <v>58800</v>
      </c>
      <c r="J2" s="84">
        <f>F2*0.2</f>
        <v>980</v>
      </c>
    </row>
    <row r="3" spans="2:11" ht="12.75">
      <c r="B3" s="94" t="s">
        <v>81</v>
      </c>
      <c r="C3" s="75">
        <f>1+1+1</f>
        <v>3</v>
      </c>
      <c r="D3" s="84">
        <v>18</v>
      </c>
      <c r="E3" s="84">
        <f>D3*0.58</f>
        <v>10.44</v>
      </c>
      <c r="F3" s="95">
        <f>C3*D3*D9</f>
        <v>7560</v>
      </c>
      <c r="G3" s="84">
        <f>C3*E3*D9</f>
        <v>4384.8</v>
      </c>
      <c r="H3" s="84">
        <f>0.1*F3</f>
        <v>756</v>
      </c>
      <c r="I3" s="84">
        <f>F3*12</f>
        <v>90720</v>
      </c>
      <c r="J3" s="84">
        <f>F3*0.2</f>
        <v>1512</v>
      </c>
      <c r="K3" s="96"/>
    </row>
    <row r="4" spans="2:11" ht="12.75">
      <c r="B4" s="94" t="s">
        <v>82</v>
      </c>
      <c r="C4" s="75">
        <f>1+1+1</f>
        <v>3</v>
      </c>
      <c r="D4" s="84">
        <v>15</v>
      </c>
      <c r="E4" s="84">
        <f>D4*0.58</f>
        <v>8.7</v>
      </c>
      <c r="F4" s="95">
        <f>C4*D4*D9</f>
        <v>6300</v>
      </c>
      <c r="G4" s="84">
        <f>C4*E4*D9</f>
        <v>3653.9999999999995</v>
      </c>
      <c r="H4" s="84">
        <f>0.1*F4</f>
        <v>630</v>
      </c>
      <c r="I4" s="84">
        <f>F4*12</f>
        <v>75600</v>
      </c>
      <c r="J4" s="84">
        <f>F4*0.2</f>
        <v>1260</v>
      </c>
      <c r="K4" s="97"/>
    </row>
    <row r="5" spans="2:11" ht="12.75">
      <c r="B5" s="94" t="s">
        <v>83</v>
      </c>
      <c r="C5" s="98">
        <v>0.2</v>
      </c>
      <c r="D5" s="84">
        <v>20</v>
      </c>
      <c r="E5" s="84">
        <f>D5*0.58</f>
        <v>11.6</v>
      </c>
      <c r="F5" s="95">
        <f>C5*D5*D9</f>
        <v>560</v>
      </c>
      <c r="G5" s="84">
        <f>C5*E5*D9</f>
        <v>324.79999999999995</v>
      </c>
      <c r="H5" s="84">
        <f>0.1*F5</f>
        <v>56</v>
      </c>
      <c r="I5" s="84">
        <f>F5*12</f>
        <v>6720</v>
      </c>
      <c r="J5" s="84">
        <f>F5*0.2</f>
        <v>112</v>
      </c>
      <c r="K5" s="97"/>
    </row>
    <row r="6" spans="2:11" ht="12.75">
      <c r="B6" s="99"/>
      <c r="C6" s="75"/>
      <c r="D6" s="75"/>
      <c r="E6" s="75"/>
      <c r="F6" s="95">
        <f>SUM(F2:F5)</f>
        <v>19320</v>
      </c>
      <c r="G6" s="95">
        <f>SUM(G2:G5)</f>
        <v>11205.599999999999</v>
      </c>
      <c r="H6" s="95">
        <f>SUM(H2:H5)</f>
        <v>1932</v>
      </c>
      <c r="I6" s="95">
        <f>SUM(I2:I5)</f>
        <v>231840</v>
      </c>
      <c r="J6" s="95">
        <f>SUM(J2:J5)</f>
        <v>3864</v>
      </c>
      <c r="K6" s="97"/>
    </row>
    <row r="7" ht="12.75">
      <c r="K7" s="97"/>
    </row>
    <row r="8" spans="2:4" ht="12.75">
      <c r="B8" s="100" t="s">
        <v>84</v>
      </c>
      <c r="C8" s="101"/>
      <c r="D8" s="102">
        <v>35</v>
      </c>
    </row>
    <row r="9" spans="2:6" ht="12.75">
      <c r="B9" s="103" t="s">
        <v>85</v>
      </c>
      <c r="C9" s="104"/>
      <c r="D9" s="84">
        <v>140</v>
      </c>
      <c r="F9" s="76"/>
    </row>
    <row r="10" spans="4:6" ht="12.75">
      <c r="D10" s="1"/>
      <c r="E10" s="105"/>
      <c r="F10" s="76"/>
    </row>
    <row r="11" spans="2:6" ht="12.75">
      <c r="B11" s="92" t="s">
        <v>86</v>
      </c>
      <c r="C11" s="106">
        <f>G6</f>
        <v>11205.599999999999</v>
      </c>
      <c r="D11" s="1"/>
      <c r="E11" s="105"/>
      <c r="F11" s="76"/>
    </row>
    <row r="12" spans="2:6" ht="12.75">
      <c r="B12" s="94" t="s">
        <v>48</v>
      </c>
      <c r="C12" s="107">
        <f>J6</f>
        <v>3864</v>
      </c>
      <c r="F12" s="76"/>
    </row>
    <row r="13" ht="12.75">
      <c r="F13" s="76"/>
    </row>
    <row r="14" ht="12.75">
      <c r="F14" s="76"/>
    </row>
    <row r="15" ht="12.75">
      <c r="F15" s="76"/>
    </row>
    <row r="16" ht="12.75">
      <c r="F16" s="76"/>
    </row>
    <row r="17" spans="4:6" ht="12.75">
      <c r="D17" s="108"/>
      <c r="F17" s="76"/>
    </row>
    <row r="18" spans="4:6" ht="12.75">
      <c r="D18" s="77"/>
      <c r="F18" s="76"/>
    </row>
  </sheetData>
  <sheetProtection password="EC74" sheet="1" objects="1" scenarios="1"/>
  <printOptions/>
  <pageMargins left="0.79" right="0.79" top="0.98" bottom="0.98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64">
      <selection activeCell="H67" sqref="H67"/>
    </sheetView>
  </sheetViews>
  <sheetFormatPr defaultColWidth="9.140625" defaultRowHeight="12.75"/>
  <cols>
    <col min="2" max="2" width="16.7109375" style="0" customWidth="1"/>
    <col min="3" max="3" width="16.140625" style="0" customWidth="1"/>
    <col min="4" max="4" width="11.421875" style="0" customWidth="1"/>
    <col min="5" max="5" width="16.00390625" style="0" customWidth="1"/>
    <col min="10" max="10" width="13.7109375" style="0" customWidth="1"/>
    <col min="12" max="12" width="10.57421875" style="0" customWidth="1"/>
  </cols>
  <sheetData>
    <row r="1" spans="2:5" ht="12.75">
      <c r="B1" s="154" t="s">
        <v>112</v>
      </c>
      <c r="C1" s="154"/>
      <c r="D1" s="154"/>
      <c r="E1" s="154"/>
    </row>
    <row r="2" spans="2:5" ht="12.75">
      <c r="B2" s="109"/>
      <c r="C2" s="110" t="s">
        <v>113</v>
      </c>
      <c r="D2" s="111" t="s">
        <v>114</v>
      </c>
      <c r="E2" s="110" t="s">
        <v>115</v>
      </c>
    </row>
    <row r="3" spans="2:5" ht="12.75">
      <c r="B3" s="92" t="s">
        <v>87</v>
      </c>
      <c r="C3" s="112">
        <v>5000</v>
      </c>
      <c r="D3" s="113">
        <v>10</v>
      </c>
      <c r="E3" s="112">
        <v>800</v>
      </c>
    </row>
    <row r="4" spans="2:5" ht="12.75">
      <c r="B4" s="92" t="s">
        <v>88</v>
      </c>
      <c r="C4" s="112">
        <v>4500</v>
      </c>
      <c r="D4" s="113">
        <v>6</v>
      </c>
      <c r="E4" s="112">
        <v>1500</v>
      </c>
    </row>
    <row r="5" spans="2:5" ht="12.75">
      <c r="B5" s="114" t="s">
        <v>89</v>
      </c>
      <c r="C5" s="112">
        <v>2500</v>
      </c>
      <c r="D5" s="113">
        <v>5</v>
      </c>
      <c r="E5" s="112">
        <v>800</v>
      </c>
    </row>
    <row r="10" ht="12.75">
      <c r="B10" s="149" t="s">
        <v>90</v>
      </c>
    </row>
    <row r="11" spans="2:6" ht="12.75">
      <c r="B11" s="92" t="s">
        <v>91</v>
      </c>
      <c r="C11" s="92" t="s">
        <v>92</v>
      </c>
      <c r="D11" s="131"/>
      <c r="E11" s="92" t="s">
        <v>120</v>
      </c>
      <c r="F11" s="109"/>
    </row>
    <row r="12" spans="2:5" ht="12.75">
      <c r="B12" s="122" t="s">
        <v>87</v>
      </c>
      <c r="C12" s="134">
        <f>SLN(C3,E3,D3)/12</f>
        <v>35</v>
      </c>
      <c r="D12" s="137"/>
      <c r="E12" s="136">
        <f>C12*12</f>
        <v>420</v>
      </c>
    </row>
    <row r="13" spans="2:5" ht="12.75">
      <c r="B13" s="92" t="s">
        <v>88</v>
      </c>
      <c r="C13" s="132">
        <f>SLN(C4,E4,D4)/12</f>
        <v>41.666666666666664</v>
      </c>
      <c r="D13" s="135"/>
      <c r="E13" s="133">
        <f>C13*12</f>
        <v>500</v>
      </c>
    </row>
    <row r="14" spans="2:5" ht="12.75">
      <c r="B14" s="114" t="s">
        <v>89</v>
      </c>
      <c r="C14" s="132">
        <f>SLN(C5,E5,D5)/12</f>
        <v>28.333333333333332</v>
      </c>
      <c r="D14" s="135"/>
      <c r="E14" s="133">
        <f>C14*12</f>
        <v>340</v>
      </c>
    </row>
    <row r="17" spans="2:13" ht="12.75">
      <c r="B17" s="140" t="s">
        <v>87</v>
      </c>
      <c r="C17" s="1"/>
      <c r="D17" s="1"/>
      <c r="E17" s="1"/>
      <c r="F17" s="1"/>
      <c r="J17" s="123" t="s">
        <v>87</v>
      </c>
      <c r="K17" s="1"/>
      <c r="L17" s="1"/>
      <c r="M17" s="1"/>
    </row>
    <row r="18" spans="2:16" ht="12.75">
      <c r="B18" s="92" t="s">
        <v>93</v>
      </c>
      <c r="C18" s="92"/>
      <c r="D18" s="92"/>
      <c r="E18" s="92"/>
      <c r="F18" s="117"/>
      <c r="J18" s="92" t="s">
        <v>135</v>
      </c>
      <c r="K18" s="92"/>
      <c r="L18" s="92"/>
      <c r="M18" s="92"/>
      <c r="N18" s="109"/>
      <c r="O18" s="109"/>
      <c r="P18" s="148"/>
    </row>
    <row r="19" spans="1:13" ht="12.75">
      <c r="A19" s="127"/>
      <c r="B19" s="92" t="s">
        <v>94</v>
      </c>
      <c r="C19" s="92"/>
      <c r="D19" s="116">
        <v>0.2</v>
      </c>
      <c r="E19" s="109"/>
      <c r="F19" s="118"/>
      <c r="J19" s="92" t="s">
        <v>136</v>
      </c>
      <c r="K19" s="92"/>
      <c r="L19" s="92"/>
      <c r="M19" s="116">
        <v>0.02</v>
      </c>
    </row>
    <row r="20" spans="1:14" ht="12.75">
      <c r="A20" s="129" t="s">
        <v>118</v>
      </c>
      <c r="B20" s="92" t="s">
        <v>95</v>
      </c>
      <c r="C20" s="92" t="s">
        <v>1</v>
      </c>
      <c r="D20" s="92"/>
      <c r="E20" s="92" t="s">
        <v>96</v>
      </c>
      <c r="F20" s="92" t="s">
        <v>97</v>
      </c>
      <c r="G20" s="92"/>
      <c r="L20" s="70">
        <f>C3</f>
        <v>5000</v>
      </c>
      <c r="M20" s="147">
        <v>38353</v>
      </c>
      <c r="N20" s="124" t="s">
        <v>123</v>
      </c>
    </row>
    <row r="21" spans="1:14" ht="12.75">
      <c r="A21" s="92">
        <v>1</v>
      </c>
      <c r="B21" s="119">
        <f>C3</f>
        <v>5000</v>
      </c>
      <c r="C21" s="155" t="s">
        <v>98</v>
      </c>
      <c r="D21" s="155"/>
      <c r="E21" s="119">
        <f aca="true" t="shared" si="0" ref="E21:E30">B21-B22</f>
        <v>1000</v>
      </c>
      <c r="F21" s="119">
        <f aca="true" t="shared" si="1" ref="F21:F30">E21/12</f>
        <v>83.33333333333333</v>
      </c>
      <c r="L21" s="143">
        <f aca="true" t="shared" si="2" ref="L21:L84">L20-(L20*$M$19)</f>
        <v>4900</v>
      </c>
      <c r="M21" s="144">
        <v>38384</v>
      </c>
      <c r="N21" s="124"/>
    </row>
    <row r="22" spans="1:14" ht="12.75">
      <c r="A22" s="92">
        <v>2</v>
      </c>
      <c r="B22" s="119">
        <f aca="true" t="shared" si="3" ref="B22:B31">B21-(B21*$D$19)</f>
        <v>4000</v>
      </c>
      <c r="C22" s="155" t="s">
        <v>99</v>
      </c>
      <c r="D22" s="155"/>
      <c r="E22" s="119">
        <f t="shared" si="0"/>
        <v>800</v>
      </c>
      <c r="F22" s="119">
        <f t="shared" si="1"/>
        <v>66.66666666666667</v>
      </c>
      <c r="L22" s="143">
        <f t="shared" si="2"/>
        <v>4802</v>
      </c>
      <c r="M22" s="144" t="s">
        <v>124</v>
      </c>
      <c r="N22" s="124"/>
    </row>
    <row r="23" spans="1:14" ht="12.75">
      <c r="A23" s="92">
        <v>3</v>
      </c>
      <c r="B23" s="119">
        <f>B22-(B22*$D$19)</f>
        <v>3200</v>
      </c>
      <c r="C23" s="155" t="s">
        <v>100</v>
      </c>
      <c r="D23" s="155"/>
      <c r="E23" s="119">
        <f t="shared" si="0"/>
        <v>640</v>
      </c>
      <c r="F23" s="119">
        <f t="shared" si="1"/>
        <v>53.333333333333336</v>
      </c>
      <c r="L23" s="143">
        <f t="shared" si="2"/>
        <v>4705.96</v>
      </c>
      <c r="M23" s="144">
        <v>38443</v>
      </c>
      <c r="N23" s="124"/>
    </row>
    <row r="24" spans="1:14" ht="12.75">
      <c r="A24" s="92">
        <v>4</v>
      </c>
      <c r="B24" s="119">
        <f t="shared" si="3"/>
        <v>2560</v>
      </c>
      <c r="C24" s="155" t="s">
        <v>101</v>
      </c>
      <c r="D24" s="155"/>
      <c r="E24" s="119">
        <f>B24-B25</f>
        <v>512</v>
      </c>
      <c r="F24" s="119">
        <f t="shared" si="1"/>
        <v>42.666666666666664</v>
      </c>
      <c r="L24" s="143">
        <f t="shared" si="2"/>
        <v>4611.8408</v>
      </c>
      <c r="M24" s="144">
        <v>38473</v>
      </c>
      <c r="N24" s="124"/>
    </row>
    <row r="25" spans="1:14" ht="12.75">
      <c r="A25" s="92">
        <v>5</v>
      </c>
      <c r="B25" s="119">
        <f t="shared" si="3"/>
        <v>2048</v>
      </c>
      <c r="C25" s="155" t="s">
        <v>102</v>
      </c>
      <c r="D25" s="155"/>
      <c r="E25" s="119">
        <f t="shared" si="0"/>
        <v>409.5999999999999</v>
      </c>
      <c r="F25" s="119">
        <f>E25/12</f>
        <v>34.133333333333326</v>
      </c>
      <c r="L25" s="143">
        <f t="shared" si="2"/>
        <v>4519.603984</v>
      </c>
      <c r="M25" s="144">
        <v>38504</v>
      </c>
      <c r="N25" s="124"/>
    </row>
    <row r="26" spans="1:14" ht="12.75">
      <c r="A26" s="92">
        <v>6</v>
      </c>
      <c r="B26" s="119">
        <f t="shared" si="3"/>
        <v>1638.4</v>
      </c>
      <c r="C26" s="155" t="s">
        <v>103</v>
      </c>
      <c r="D26" s="155"/>
      <c r="E26" s="119">
        <f t="shared" si="0"/>
        <v>327.68000000000006</v>
      </c>
      <c r="F26" s="119">
        <f t="shared" si="1"/>
        <v>27.306666666666672</v>
      </c>
      <c r="L26" s="143">
        <f t="shared" si="2"/>
        <v>4429.21190432</v>
      </c>
      <c r="M26" s="144">
        <v>38534</v>
      </c>
      <c r="N26" s="124"/>
    </row>
    <row r="27" spans="1:14" ht="12.75">
      <c r="A27" s="92">
        <v>7</v>
      </c>
      <c r="B27" s="119">
        <f t="shared" si="3"/>
        <v>1310.72</v>
      </c>
      <c r="C27" s="155" t="s">
        <v>104</v>
      </c>
      <c r="D27" s="155"/>
      <c r="E27" s="119">
        <f t="shared" si="0"/>
        <v>262.144</v>
      </c>
      <c r="F27" s="119">
        <f t="shared" si="1"/>
        <v>21.845333333333333</v>
      </c>
      <c r="L27" s="143">
        <f t="shared" si="2"/>
        <v>4340.6276662336</v>
      </c>
      <c r="M27" s="144">
        <v>38565</v>
      </c>
      <c r="N27" s="124"/>
    </row>
    <row r="28" spans="1:14" ht="12.75">
      <c r="A28" s="92">
        <v>8</v>
      </c>
      <c r="B28" s="119">
        <f t="shared" si="3"/>
        <v>1048.576</v>
      </c>
      <c r="C28" s="155" t="s">
        <v>105</v>
      </c>
      <c r="D28" s="155"/>
      <c r="E28" s="119">
        <f t="shared" si="0"/>
        <v>209.71519999999998</v>
      </c>
      <c r="F28" s="119">
        <f t="shared" si="1"/>
        <v>17.476266666666664</v>
      </c>
      <c r="L28" s="143">
        <f t="shared" si="2"/>
        <v>4253.815112908928</v>
      </c>
      <c r="M28" s="144">
        <v>38596</v>
      </c>
      <c r="N28" s="124"/>
    </row>
    <row r="29" spans="1:14" ht="12.75">
      <c r="A29" s="92">
        <v>9</v>
      </c>
      <c r="B29" s="119">
        <f t="shared" si="3"/>
        <v>838.8608</v>
      </c>
      <c r="C29" s="155" t="s">
        <v>106</v>
      </c>
      <c r="D29" s="155"/>
      <c r="E29" s="119">
        <f t="shared" si="0"/>
        <v>167.77215999999999</v>
      </c>
      <c r="F29" s="119">
        <f t="shared" si="1"/>
        <v>13.981013333333332</v>
      </c>
      <c r="L29" s="143">
        <f t="shared" si="2"/>
        <v>4168.73881065075</v>
      </c>
      <c r="M29" s="144">
        <v>38626</v>
      </c>
      <c r="N29" s="124"/>
    </row>
    <row r="30" spans="1:14" ht="12.75">
      <c r="A30" s="92">
        <v>10</v>
      </c>
      <c r="B30" s="119">
        <f t="shared" si="3"/>
        <v>671.08864</v>
      </c>
      <c r="C30" s="155" t="s">
        <v>107</v>
      </c>
      <c r="D30" s="155"/>
      <c r="E30" s="119">
        <f t="shared" si="0"/>
        <v>134.21772799999997</v>
      </c>
      <c r="F30" s="119">
        <f t="shared" si="1"/>
        <v>11.184810666666664</v>
      </c>
      <c r="L30" s="143">
        <f t="shared" si="2"/>
        <v>4085.3640344377345</v>
      </c>
      <c r="M30" s="145">
        <v>38657</v>
      </c>
      <c r="N30" s="124"/>
    </row>
    <row r="31" spans="1:14" ht="12.75">
      <c r="A31" s="92">
        <v>11</v>
      </c>
      <c r="B31" s="119">
        <f t="shared" si="3"/>
        <v>536.8709120000001</v>
      </c>
      <c r="C31" s="155" t="s">
        <v>108</v>
      </c>
      <c r="D31" s="155"/>
      <c r="E31" s="115"/>
      <c r="F31" s="115"/>
      <c r="L31" s="143">
        <f t="shared" si="2"/>
        <v>4003.65675374898</v>
      </c>
      <c r="M31" s="145">
        <v>38687</v>
      </c>
      <c r="N31" s="124"/>
    </row>
    <row r="32" spans="12:14" ht="12.75">
      <c r="L32" s="143">
        <f t="shared" si="2"/>
        <v>3923.5836186740003</v>
      </c>
      <c r="M32" s="144">
        <v>38353</v>
      </c>
      <c r="N32" s="124" t="s">
        <v>125</v>
      </c>
    </row>
    <row r="33" spans="12:14" ht="12.75">
      <c r="L33" s="143">
        <f t="shared" si="2"/>
        <v>3845.1119463005202</v>
      </c>
      <c r="M33" s="144">
        <v>38384</v>
      </c>
      <c r="N33" s="124"/>
    </row>
    <row r="34" spans="12:14" ht="12.75">
      <c r="L34" s="143">
        <f t="shared" si="2"/>
        <v>3768.20970737451</v>
      </c>
      <c r="M34" s="144" t="s">
        <v>124</v>
      </c>
      <c r="N34" s="124"/>
    </row>
    <row r="35" spans="2:14" ht="12.75">
      <c r="B35" s="139" t="s">
        <v>87</v>
      </c>
      <c r="L35" s="143">
        <f t="shared" si="2"/>
        <v>3692.8455132270196</v>
      </c>
      <c r="M35" s="144">
        <v>38443</v>
      </c>
      <c r="N35" s="124"/>
    </row>
    <row r="36" spans="1:14" ht="12.75">
      <c r="A36" s="127"/>
      <c r="B36" s="92" t="s">
        <v>116</v>
      </c>
      <c r="C36" s="92"/>
      <c r="D36" s="92"/>
      <c r="E36" s="100"/>
      <c r="F36" s="125"/>
      <c r="L36" s="143">
        <f t="shared" si="2"/>
        <v>3618.988602962479</v>
      </c>
      <c r="M36" s="144">
        <v>38473</v>
      </c>
      <c r="N36" s="124"/>
    </row>
    <row r="37" spans="1:14" ht="12.75">
      <c r="A37" s="129" t="s">
        <v>118</v>
      </c>
      <c r="B37" s="92" t="s">
        <v>95</v>
      </c>
      <c r="C37" s="126" t="s">
        <v>1</v>
      </c>
      <c r="D37" s="92"/>
      <c r="E37" s="92" t="s">
        <v>96</v>
      </c>
      <c r="F37" s="94" t="s">
        <v>97</v>
      </c>
      <c r="G37" s="109"/>
      <c r="L37" s="143">
        <f t="shared" si="2"/>
        <v>3546.6088309032293</v>
      </c>
      <c r="M37" s="144">
        <v>38504</v>
      </c>
      <c r="N37" s="124"/>
    </row>
    <row r="38" spans="1:14" ht="12.75">
      <c r="A38" s="92">
        <v>1</v>
      </c>
      <c r="B38" s="119">
        <v>5000</v>
      </c>
      <c r="C38" s="155" t="s">
        <v>98</v>
      </c>
      <c r="D38" s="155"/>
      <c r="E38" s="121">
        <f>SYD($C$3,$E$3,$D$3,A38)</f>
        <v>763.6363636363636</v>
      </c>
      <c r="F38" s="119">
        <f aca="true" t="shared" si="4" ref="F38:F47">E38/12</f>
        <v>63.63636363636363</v>
      </c>
      <c r="L38" s="143">
        <f t="shared" si="2"/>
        <v>3475.6766542851647</v>
      </c>
      <c r="M38" s="144">
        <v>38534</v>
      </c>
      <c r="N38" s="124"/>
    </row>
    <row r="39" spans="1:14" ht="12.75">
      <c r="A39" s="92">
        <v>2</v>
      </c>
      <c r="B39" s="119">
        <f aca="true" t="shared" si="5" ref="B39:B47">B38-E38</f>
        <v>4236.363636363636</v>
      </c>
      <c r="C39" s="155" t="s">
        <v>99</v>
      </c>
      <c r="D39" s="155"/>
      <c r="E39" s="119">
        <f aca="true" t="shared" si="6" ref="E39:E47">SYD($C$3,$E$3,$D$3,A39)</f>
        <v>687.2727272727273</v>
      </c>
      <c r="F39" s="119">
        <f t="shared" si="4"/>
        <v>57.27272727272727</v>
      </c>
      <c r="L39" s="143">
        <f t="shared" si="2"/>
        <v>3406.1631211994613</v>
      </c>
      <c r="M39" s="144">
        <v>38565</v>
      </c>
      <c r="N39" s="124"/>
    </row>
    <row r="40" spans="1:14" ht="12.75">
      <c r="A40" s="92">
        <v>3</v>
      </c>
      <c r="B40" s="119">
        <f t="shared" si="5"/>
        <v>3549.090909090909</v>
      </c>
      <c r="C40" s="155" t="s">
        <v>100</v>
      </c>
      <c r="D40" s="155"/>
      <c r="E40" s="119">
        <f t="shared" si="6"/>
        <v>610.9090909090909</v>
      </c>
      <c r="F40" s="119">
        <f t="shared" si="4"/>
        <v>50.90909090909091</v>
      </c>
      <c r="L40" s="143">
        <f t="shared" si="2"/>
        <v>3338.039858775472</v>
      </c>
      <c r="M40" s="144">
        <v>38596</v>
      </c>
      <c r="N40" s="124"/>
    </row>
    <row r="41" spans="1:14" ht="12.75">
      <c r="A41" s="92">
        <v>4</v>
      </c>
      <c r="B41" s="119">
        <f t="shared" si="5"/>
        <v>2938.181818181818</v>
      </c>
      <c r="C41" s="155" t="s">
        <v>101</v>
      </c>
      <c r="D41" s="155"/>
      <c r="E41" s="119">
        <f t="shared" si="6"/>
        <v>534.5454545454545</v>
      </c>
      <c r="F41" s="119">
        <f t="shared" si="4"/>
        <v>44.54545454545454</v>
      </c>
      <c r="L41" s="143">
        <f t="shared" si="2"/>
        <v>3271.2790615999625</v>
      </c>
      <c r="M41" s="144">
        <v>38626</v>
      </c>
      <c r="N41" s="124"/>
    </row>
    <row r="42" spans="1:14" ht="12.75">
      <c r="A42" s="92">
        <v>5</v>
      </c>
      <c r="B42" s="119">
        <f t="shared" si="5"/>
        <v>2403.6363636363635</v>
      </c>
      <c r="C42" s="155" t="s">
        <v>102</v>
      </c>
      <c r="D42" s="155"/>
      <c r="E42" s="119">
        <f t="shared" si="6"/>
        <v>458.1818181818182</v>
      </c>
      <c r="F42" s="119">
        <f t="shared" si="4"/>
        <v>38.18181818181818</v>
      </c>
      <c r="L42" s="143">
        <f t="shared" si="2"/>
        <v>3205.853480367963</v>
      </c>
      <c r="M42" s="145">
        <v>38657</v>
      </c>
      <c r="N42" s="124"/>
    </row>
    <row r="43" spans="1:14" ht="12.75">
      <c r="A43" s="92">
        <v>6</v>
      </c>
      <c r="B43" s="119">
        <f t="shared" si="5"/>
        <v>1945.4545454545453</v>
      </c>
      <c r="C43" s="155" t="s">
        <v>103</v>
      </c>
      <c r="D43" s="155"/>
      <c r="E43" s="119">
        <f t="shared" si="6"/>
        <v>381.8181818181818</v>
      </c>
      <c r="F43" s="119">
        <f t="shared" si="4"/>
        <v>31.818181818181817</v>
      </c>
      <c r="L43" s="143">
        <f t="shared" si="2"/>
        <v>3141.736410760604</v>
      </c>
      <c r="M43" s="145">
        <v>38687</v>
      </c>
      <c r="N43" s="124"/>
    </row>
    <row r="44" spans="1:14" ht="12.75">
      <c r="A44" s="92">
        <v>7</v>
      </c>
      <c r="B44" s="119">
        <f t="shared" si="5"/>
        <v>1563.6363636363635</v>
      </c>
      <c r="C44" s="155" t="s">
        <v>104</v>
      </c>
      <c r="D44" s="155"/>
      <c r="E44" s="119">
        <f t="shared" si="6"/>
        <v>305.45454545454544</v>
      </c>
      <c r="F44" s="119">
        <f t="shared" si="4"/>
        <v>25.454545454545453</v>
      </c>
      <c r="L44" s="143">
        <f t="shared" si="2"/>
        <v>3078.901682545392</v>
      </c>
      <c r="M44" s="144">
        <v>38353</v>
      </c>
      <c r="N44" s="124" t="s">
        <v>126</v>
      </c>
    </row>
    <row r="45" spans="1:14" ht="12.75">
      <c r="A45" s="92">
        <v>8</v>
      </c>
      <c r="B45" s="119">
        <f t="shared" si="5"/>
        <v>1258.181818181818</v>
      </c>
      <c r="C45" s="155" t="s">
        <v>105</v>
      </c>
      <c r="D45" s="155"/>
      <c r="E45" s="119">
        <f t="shared" si="6"/>
        <v>229.0909090909091</v>
      </c>
      <c r="F45" s="119">
        <f t="shared" si="4"/>
        <v>19.09090909090909</v>
      </c>
      <c r="L45" s="143">
        <f t="shared" si="2"/>
        <v>3017.323648894484</v>
      </c>
      <c r="M45" s="144">
        <v>38384</v>
      </c>
      <c r="N45" s="124"/>
    </row>
    <row r="46" spans="1:14" ht="12.75">
      <c r="A46" s="92">
        <v>9</v>
      </c>
      <c r="B46" s="119">
        <f t="shared" si="5"/>
        <v>1029.090909090909</v>
      </c>
      <c r="C46" s="155" t="s">
        <v>106</v>
      </c>
      <c r="D46" s="155"/>
      <c r="E46" s="119">
        <f t="shared" si="6"/>
        <v>152.72727272727272</v>
      </c>
      <c r="F46" s="119">
        <f t="shared" si="4"/>
        <v>12.727272727272727</v>
      </c>
      <c r="L46" s="143">
        <f t="shared" si="2"/>
        <v>2956.977175916594</v>
      </c>
      <c r="M46" s="144" t="s">
        <v>124</v>
      </c>
      <c r="N46" s="124"/>
    </row>
    <row r="47" spans="1:14" ht="12.75">
      <c r="A47" s="92">
        <v>10</v>
      </c>
      <c r="B47" s="119">
        <f t="shared" si="5"/>
        <v>876.3636363636363</v>
      </c>
      <c r="C47" s="155" t="s">
        <v>107</v>
      </c>
      <c r="D47" s="155"/>
      <c r="E47" s="119">
        <f t="shared" si="6"/>
        <v>76.36363636363636</v>
      </c>
      <c r="F47" s="119">
        <f t="shared" si="4"/>
        <v>6.363636363636363</v>
      </c>
      <c r="L47" s="143">
        <f t="shared" si="2"/>
        <v>2897.8376323982625</v>
      </c>
      <c r="M47" s="144">
        <v>38443</v>
      </c>
      <c r="N47" s="124"/>
    </row>
    <row r="48" spans="12:14" ht="12.75">
      <c r="L48" s="143">
        <f t="shared" si="2"/>
        <v>2839.880879750297</v>
      </c>
      <c r="M48" s="144">
        <v>38473</v>
      </c>
      <c r="N48" s="124"/>
    </row>
    <row r="49" spans="2:14" ht="12.75">
      <c r="B49" s="156" t="s">
        <v>87</v>
      </c>
      <c r="C49" s="1"/>
      <c r="D49" s="1"/>
      <c r="E49" s="1"/>
      <c r="F49" s="1"/>
      <c r="L49" s="143">
        <f t="shared" si="2"/>
        <v>2783.083262155291</v>
      </c>
      <c r="M49" s="144">
        <v>38504</v>
      </c>
      <c r="N49" s="124"/>
    </row>
    <row r="50" spans="2:14" ht="12.75">
      <c r="B50" s="92" t="s">
        <v>117</v>
      </c>
      <c r="C50" s="92"/>
      <c r="D50" s="92"/>
      <c r="E50" s="1"/>
      <c r="F50" s="1"/>
      <c r="L50" s="143">
        <f t="shared" si="2"/>
        <v>2727.421596912185</v>
      </c>
      <c r="M50" s="144">
        <v>38534</v>
      </c>
      <c r="N50" s="124"/>
    </row>
    <row r="51" spans="1:14" ht="12.75">
      <c r="A51" s="128" t="s">
        <v>118</v>
      </c>
      <c r="B51" s="92" t="s">
        <v>95</v>
      </c>
      <c r="C51" s="92" t="s">
        <v>1</v>
      </c>
      <c r="D51" s="92"/>
      <c r="E51" s="92" t="s">
        <v>96</v>
      </c>
      <c r="F51" s="92" t="s">
        <v>97</v>
      </c>
      <c r="G51" s="109"/>
      <c r="L51" s="143">
        <f t="shared" si="2"/>
        <v>2672.8731649739416</v>
      </c>
      <c r="M51" s="144">
        <v>38565</v>
      </c>
      <c r="N51" s="124"/>
    </row>
    <row r="52" spans="1:14" ht="12.75">
      <c r="A52" s="92">
        <v>1</v>
      </c>
      <c r="B52" s="119">
        <v>5000</v>
      </c>
      <c r="C52" s="155" t="s">
        <v>98</v>
      </c>
      <c r="D52" s="155"/>
      <c r="E52" s="121">
        <f>DDB($C$3,$E$3,$D$3,A38,3)</f>
        <v>1500</v>
      </c>
      <c r="F52" s="119">
        <f aca="true" t="shared" si="7" ref="F52:F61">E52/12</f>
        <v>125</v>
      </c>
      <c r="L52" s="143">
        <f t="shared" si="2"/>
        <v>2619.415701674463</v>
      </c>
      <c r="M52" s="144">
        <v>38596</v>
      </c>
      <c r="N52" s="124"/>
    </row>
    <row r="53" spans="1:14" ht="12.75">
      <c r="A53" s="92">
        <v>2</v>
      </c>
      <c r="B53" s="119">
        <f aca="true" t="shared" si="8" ref="B53:B61">B52-E52</f>
        <v>3500</v>
      </c>
      <c r="C53" s="155" t="s">
        <v>99</v>
      </c>
      <c r="D53" s="155"/>
      <c r="E53" s="121">
        <f aca="true" t="shared" si="9" ref="E53:E60">DDB($C$3,$E$3,$D$3,A39,3)</f>
        <v>1050</v>
      </c>
      <c r="F53" s="119">
        <f t="shared" si="7"/>
        <v>87.5</v>
      </c>
      <c r="L53" s="143">
        <f t="shared" si="2"/>
        <v>2567.0273876409738</v>
      </c>
      <c r="M53" s="144">
        <v>38626</v>
      </c>
      <c r="N53" s="124"/>
    </row>
    <row r="54" spans="1:14" ht="12.75">
      <c r="A54" s="92">
        <v>3</v>
      </c>
      <c r="B54" s="119">
        <f t="shared" si="8"/>
        <v>2450</v>
      </c>
      <c r="C54" s="155" t="s">
        <v>100</v>
      </c>
      <c r="D54" s="155"/>
      <c r="E54" s="121">
        <f t="shared" si="9"/>
        <v>734.9999999999999</v>
      </c>
      <c r="F54" s="119">
        <f t="shared" si="7"/>
        <v>61.24999999999999</v>
      </c>
      <c r="L54" s="143">
        <f t="shared" si="2"/>
        <v>2515.6868398881543</v>
      </c>
      <c r="M54" s="145">
        <v>38657</v>
      </c>
      <c r="N54" s="124"/>
    </row>
    <row r="55" spans="1:14" ht="12.75">
      <c r="A55" s="92">
        <v>4</v>
      </c>
      <c r="B55" s="119">
        <f t="shared" si="8"/>
        <v>1715</v>
      </c>
      <c r="C55" s="155" t="s">
        <v>101</v>
      </c>
      <c r="D55" s="155"/>
      <c r="E55" s="121">
        <f t="shared" si="9"/>
        <v>514.4999999999999</v>
      </c>
      <c r="F55" s="119">
        <f t="shared" si="7"/>
        <v>42.87499999999999</v>
      </c>
      <c r="L55" s="143">
        <f t="shared" si="2"/>
        <v>2465.3731030903914</v>
      </c>
      <c r="M55" s="145">
        <v>38687</v>
      </c>
      <c r="N55" s="124"/>
    </row>
    <row r="56" spans="1:14" ht="12.75">
      <c r="A56" s="92">
        <v>5</v>
      </c>
      <c r="B56" s="119">
        <f t="shared" si="8"/>
        <v>1200.5</v>
      </c>
      <c r="C56" s="155" t="s">
        <v>102</v>
      </c>
      <c r="D56" s="155"/>
      <c r="E56" s="121">
        <f t="shared" si="9"/>
        <v>360.14999999999986</v>
      </c>
      <c r="F56" s="119">
        <f t="shared" si="7"/>
        <v>30.01249999999999</v>
      </c>
      <c r="L56" s="143">
        <f t="shared" si="2"/>
        <v>2416.0656410285837</v>
      </c>
      <c r="M56" s="144">
        <v>38353</v>
      </c>
      <c r="N56" s="124" t="s">
        <v>127</v>
      </c>
    </row>
    <row r="57" spans="1:14" ht="12.75">
      <c r="A57" s="92">
        <v>6</v>
      </c>
      <c r="B57" s="119">
        <f t="shared" si="8"/>
        <v>840.3500000000001</v>
      </c>
      <c r="C57" s="155" t="s">
        <v>103</v>
      </c>
      <c r="D57" s="155"/>
      <c r="E57" s="121">
        <f t="shared" si="9"/>
        <v>40.34999999999968</v>
      </c>
      <c r="F57" s="119">
        <f t="shared" si="7"/>
        <v>3.3624999999999736</v>
      </c>
      <c r="L57" s="143">
        <f t="shared" si="2"/>
        <v>2367.744328208012</v>
      </c>
      <c r="M57" s="144">
        <v>38384</v>
      </c>
      <c r="N57" s="124"/>
    </row>
    <row r="58" spans="1:14" ht="12.75">
      <c r="A58" s="92">
        <v>7</v>
      </c>
      <c r="B58" s="119">
        <f t="shared" si="8"/>
        <v>800.0000000000005</v>
      </c>
      <c r="C58" s="155" t="s">
        <v>104</v>
      </c>
      <c r="D58" s="155"/>
      <c r="E58" s="121">
        <f t="shared" si="9"/>
        <v>0</v>
      </c>
      <c r="F58" s="119">
        <f t="shared" si="7"/>
        <v>0</v>
      </c>
      <c r="L58" s="143">
        <f t="shared" si="2"/>
        <v>2320.389441643852</v>
      </c>
      <c r="M58" s="144" t="s">
        <v>124</v>
      </c>
      <c r="N58" s="124"/>
    </row>
    <row r="59" spans="1:14" ht="12.75">
      <c r="A59" s="92">
        <v>8</v>
      </c>
      <c r="B59" s="119">
        <f t="shared" si="8"/>
        <v>800.0000000000005</v>
      </c>
      <c r="C59" s="155" t="s">
        <v>105</v>
      </c>
      <c r="D59" s="155"/>
      <c r="E59" s="121">
        <f t="shared" si="9"/>
        <v>0</v>
      </c>
      <c r="F59" s="119">
        <f t="shared" si="7"/>
        <v>0</v>
      </c>
      <c r="L59" s="143">
        <f t="shared" si="2"/>
        <v>2273.981652810975</v>
      </c>
      <c r="M59" s="144">
        <v>38443</v>
      </c>
      <c r="N59" s="124"/>
    </row>
    <row r="60" spans="1:14" ht="12.75">
      <c r="A60" s="92">
        <v>9</v>
      </c>
      <c r="B60" s="119">
        <f t="shared" si="8"/>
        <v>800.0000000000005</v>
      </c>
      <c r="C60" s="155" t="s">
        <v>106</v>
      </c>
      <c r="D60" s="155"/>
      <c r="E60" s="121">
        <f t="shared" si="9"/>
        <v>0</v>
      </c>
      <c r="F60" s="119">
        <f t="shared" si="7"/>
        <v>0</v>
      </c>
      <c r="L60" s="143">
        <f t="shared" si="2"/>
        <v>2228.5020197547556</v>
      </c>
      <c r="M60" s="144">
        <v>38473</v>
      </c>
      <c r="N60" s="124"/>
    </row>
    <row r="61" spans="1:14" ht="12.75">
      <c r="A61" s="92">
        <v>10</v>
      </c>
      <c r="B61" s="119">
        <f t="shared" si="8"/>
        <v>800.0000000000005</v>
      </c>
      <c r="C61" s="155" t="s">
        <v>107</v>
      </c>
      <c r="D61" s="155"/>
      <c r="E61" s="121">
        <f>DDB($C$3,$E$3,$D$3,A47,3)</f>
        <v>0</v>
      </c>
      <c r="F61" s="119">
        <f t="shared" si="7"/>
        <v>0</v>
      </c>
      <c r="L61" s="143">
        <f t="shared" si="2"/>
        <v>2183.9319793596605</v>
      </c>
      <c r="M61" s="144">
        <v>38504</v>
      </c>
      <c r="N61" s="124"/>
    </row>
    <row r="62" spans="12:14" ht="12.75">
      <c r="L62" s="143">
        <f t="shared" si="2"/>
        <v>2140.2533397724674</v>
      </c>
      <c r="M62" s="144">
        <v>38534</v>
      </c>
      <c r="N62" s="124"/>
    </row>
    <row r="63" spans="12:14" ht="12.75">
      <c r="L63" s="143">
        <f t="shared" si="2"/>
        <v>2097.448272977018</v>
      </c>
      <c r="M63" s="144">
        <v>38565</v>
      </c>
      <c r="N63" s="124"/>
    </row>
    <row r="64" spans="12:14" ht="12.75">
      <c r="L64" s="143">
        <f t="shared" si="2"/>
        <v>2055.4993075174775</v>
      </c>
      <c r="M64" s="144">
        <v>38596</v>
      </c>
      <c r="N64" s="124"/>
    </row>
    <row r="65" spans="12:14" ht="12.75">
      <c r="L65" s="143">
        <f t="shared" si="2"/>
        <v>2014.3893213671279</v>
      </c>
      <c r="M65" s="144">
        <v>38626</v>
      </c>
      <c r="N65" s="124"/>
    </row>
    <row r="66" spans="4:14" ht="12.75">
      <c r="D66" s="141" t="s">
        <v>121</v>
      </c>
      <c r="E66" s="124"/>
      <c r="L66" s="143">
        <f t="shared" si="2"/>
        <v>1974.1015349397853</v>
      </c>
      <c r="M66" s="145">
        <v>38657</v>
      </c>
      <c r="N66" s="124"/>
    </row>
    <row r="67" spans="4:14" ht="12.75">
      <c r="D67" s="128" t="s">
        <v>119</v>
      </c>
      <c r="E67" s="122" t="s">
        <v>109</v>
      </c>
      <c r="F67" s="149" t="s">
        <v>110</v>
      </c>
      <c r="G67" s="139" t="s">
        <v>111</v>
      </c>
      <c r="H67" s="140" t="s">
        <v>122</v>
      </c>
      <c r="I67" s="140"/>
      <c r="L67" s="143">
        <f t="shared" si="2"/>
        <v>1934.6195042409897</v>
      </c>
      <c r="M67" s="145">
        <v>38687</v>
      </c>
      <c r="N67" s="124"/>
    </row>
    <row r="68" spans="3:14" ht="12.75">
      <c r="C68" s="130"/>
      <c r="D68" s="92">
        <v>1</v>
      </c>
      <c r="E68" s="120">
        <f aca="true" t="shared" si="10" ref="E68:E77">DDB($C$3,$E$3,$D$3,D68,3)</f>
        <v>1500</v>
      </c>
      <c r="F68" s="120">
        <f aca="true" t="shared" si="11" ref="F68:F77">SLN($C$3,$E$3,$D$3)</f>
        <v>420</v>
      </c>
      <c r="G68" s="120">
        <f aca="true" t="shared" si="12" ref="G68:G77">SYD($C$3,$E$3,$D$3,D68)</f>
        <v>763.6363636363636</v>
      </c>
      <c r="H68" s="138">
        <f aca="true" t="shared" si="13" ref="H68:H77">B21-(B21-(B21*$D$19))</f>
        <v>1000</v>
      </c>
      <c r="L68" s="143">
        <f t="shared" si="2"/>
        <v>1895.9271141561699</v>
      </c>
      <c r="M68" s="144">
        <v>38353</v>
      </c>
      <c r="N68" s="124" t="s">
        <v>128</v>
      </c>
    </row>
    <row r="69" spans="3:14" ht="12.75">
      <c r="C69" s="130"/>
      <c r="D69" s="92">
        <v>2</v>
      </c>
      <c r="E69" s="120">
        <f t="shared" si="10"/>
        <v>1050</v>
      </c>
      <c r="F69" s="120">
        <f t="shared" si="11"/>
        <v>420</v>
      </c>
      <c r="G69" s="120">
        <f t="shared" si="12"/>
        <v>687.2727272727273</v>
      </c>
      <c r="H69" s="138">
        <f t="shared" si="13"/>
        <v>800</v>
      </c>
      <c r="L69" s="143">
        <f t="shared" si="2"/>
        <v>1858.0085718730465</v>
      </c>
      <c r="M69" s="144">
        <v>38384</v>
      </c>
      <c r="N69" s="124"/>
    </row>
    <row r="70" spans="3:14" ht="12.75">
      <c r="C70" s="130"/>
      <c r="D70" s="92">
        <v>3</v>
      </c>
      <c r="E70" s="120">
        <f t="shared" si="10"/>
        <v>734.9999999999999</v>
      </c>
      <c r="F70" s="120">
        <f t="shared" si="11"/>
        <v>420</v>
      </c>
      <c r="G70" s="120">
        <f t="shared" si="12"/>
        <v>610.9090909090909</v>
      </c>
      <c r="H70" s="138">
        <f t="shared" si="13"/>
        <v>640</v>
      </c>
      <c r="L70" s="143">
        <f t="shared" si="2"/>
        <v>1820.8484004355855</v>
      </c>
      <c r="M70" s="144" t="s">
        <v>124</v>
      </c>
      <c r="N70" s="124"/>
    </row>
    <row r="71" spans="3:14" ht="12.75">
      <c r="C71" s="130"/>
      <c r="D71" s="92">
        <v>4</v>
      </c>
      <c r="E71" s="120">
        <f t="shared" si="10"/>
        <v>514.4999999999999</v>
      </c>
      <c r="F71" s="120">
        <f t="shared" si="11"/>
        <v>420</v>
      </c>
      <c r="G71" s="120">
        <f t="shared" si="12"/>
        <v>534.5454545454545</v>
      </c>
      <c r="H71" s="138">
        <f t="shared" si="13"/>
        <v>512</v>
      </c>
      <c r="L71" s="143">
        <f t="shared" si="2"/>
        <v>1784.4314324268737</v>
      </c>
      <c r="M71" s="144">
        <v>38443</v>
      </c>
      <c r="N71" s="124"/>
    </row>
    <row r="72" spans="3:14" ht="12.75">
      <c r="C72" s="130"/>
      <c r="D72" s="92">
        <v>5</v>
      </c>
      <c r="E72" s="120">
        <f t="shared" si="10"/>
        <v>360.14999999999986</v>
      </c>
      <c r="F72" s="120">
        <f t="shared" si="11"/>
        <v>420</v>
      </c>
      <c r="G72" s="120">
        <f t="shared" si="12"/>
        <v>458.1818181818182</v>
      </c>
      <c r="H72" s="138">
        <f t="shared" si="13"/>
        <v>409.5999999999999</v>
      </c>
      <c r="L72" s="143">
        <f t="shared" si="2"/>
        <v>1748.742803778336</v>
      </c>
      <c r="M72" s="144">
        <v>38473</v>
      </c>
      <c r="N72" s="124"/>
    </row>
    <row r="73" spans="3:14" ht="12.75">
      <c r="C73" s="130"/>
      <c r="D73" s="92">
        <v>6</v>
      </c>
      <c r="E73" s="120">
        <f t="shared" si="10"/>
        <v>40.34999999999968</v>
      </c>
      <c r="F73" s="120">
        <f t="shared" si="11"/>
        <v>420</v>
      </c>
      <c r="G73" s="120">
        <f t="shared" si="12"/>
        <v>381.8181818181818</v>
      </c>
      <c r="H73" s="138">
        <f t="shared" si="13"/>
        <v>327.68000000000006</v>
      </c>
      <c r="L73" s="143">
        <f t="shared" si="2"/>
        <v>1713.7679477027693</v>
      </c>
      <c r="M73" s="144">
        <v>38504</v>
      </c>
      <c r="N73" s="124"/>
    </row>
    <row r="74" spans="3:14" ht="12.75">
      <c r="C74" s="130"/>
      <c r="D74" s="92">
        <v>7</v>
      </c>
      <c r="E74" s="120">
        <f t="shared" si="10"/>
        <v>0</v>
      </c>
      <c r="F74" s="120">
        <f t="shared" si="11"/>
        <v>420</v>
      </c>
      <c r="G74" s="120">
        <f t="shared" si="12"/>
        <v>305.45454545454544</v>
      </c>
      <c r="H74" s="138">
        <f t="shared" si="13"/>
        <v>262.144</v>
      </c>
      <c r="L74" s="143">
        <f t="shared" si="2"/>
        <v>1679.4925887487138</v>
      </c>
      <c r="M74" s="144">
        <v>38534</v>
      </c>
      <c r="N74" s="124"/>
    </row>
    <row r="75" spans="3:14" ht="12.75">
      <c r="C75" s="130"/>
      <c r="D75" s="92">
        <v>8</v>
      </c>
      <c r="E75" s="120">
        <f t="shared" si="10"/>
        <v>0</v>
      </c>
      <c r="F75" s="120">
        <f t="shared" si="11"/>
        <v>420</v>
      </c>
      <c r="G75" s="120">
        <f t="shared" si="12"/>
        <v>229.0909090909091</v>
      </c>
      <c r="H75" s="138">
        <f t="shared" si="13"/>
        <v>209.71519999999998</v>
      </c>
      <c r="L75" s="143">
        <f t="shared" si="2"/>
        <v>1645.9027369737396</v>
      </c>
      <c r="M75" s="144">
        <v>38565</v>
      </c>
      <c r="N75" s="124"/>
    </row>
    <row r="76" spans="3:14" ht="12.75">
      <c r="C76" s="130"/>
      <c r="D76" s="92">
        <v>9</v>
      </c>
      <c r="E76" s="120">
        <f t="shared" si="10"/>
        <v>0</v>
      </c>
      <c r="F76" s="120">
        <f t="shared" si="11"/>
        <v>420</v>
      </c>
      <c r="G76" s="120">
        <f t="shared" si="12"/>
        <v>152.72727272727272</v>
      </c>
      <c r="H76" s="138">
        <f t="shared" si="13"/>
        <v>167.77215999999999</v>
      </c>
      <c r="L76" s="143">
        <f t="shared" si="2"/>
        <v>1612.9846822342647</v>
      </c>
      <c r="M76" s="144">
        <v>38596</v>
      </c>
      <c r="N76" s="124"/>
    </row>
    <row r="77" spans="3:14" ht="12.75">
      <c r="C77" s="130"/>
      <c r="D77" s="92">
        <v>10</v>
      </c>
      <c r="E77" s="120">
        <f t="shared" si="10"/>
        <v>0</v>
      </c>
      <c r="F77" s="120">
        <f t="shared" si="11"/>
        <v>420</v>
      </c>
      <c r="G77" s="120">
        <f t="shared" si="12"/>
        <v>76.36363636363636</v>
      </c>
      <c r="H77" s="138">
        <f t="shared" si="13"/>
        <v>134.21772799999997</v>
      </c>
      <c r="L77" s="143">
        <f t="shared" si="2"/>
        <v>1580.7249885895794</v>
      </c>
      <c r="M77" s="144">
        <v>38626</v>
      </c>
      <c r="N77" s="124"/>
    </row>
    <row r="78" spans="12:14" ht="12.75">
      <c r="L78" s="143">
        <f t="shared" si="2"/>
        <v>1549.1104888177879</v>
      </c>
      <c r="M78" s="145">
        <v>38657</v>
      </c>
      <c r="N78" s="124"/>
    </row>
    <row r="79" spans="12:14" ht="12.75">
      <c r="L79" s="143">
        <f t="shared" si="2"/>
        <v>1518.128279041432</v>
      </c>
      <c r="M79" s="145">
        <v>38687</v>
      </c>
      <c r="N79" s="124"/>
    </row>
    <row r="80" spans="12:14" ht="12.75">
      <c r="L80" s="143">
        <f t="shared" si="2"/>
        <v>1487.7657134606034</v>
      </c>
      <c r="M80" s="144">
        <v>38353</v>
      </c>
      <c r="N80" s="124" t="s">
        <v>129</v>
      </c>
    </row>
    <row r="81" spans="12:14" ht="12.75">
      <c r="L81" s="143">
        <f t="shared" si="2"/>
        <v>1458.0103991913913</v>
      </c>
      <c r="M81" s="144">
        <v>38384</v>
      </c>
      <c r="N81" s="124"/>
    </row>
    <row r="82" spans="12:14" ht="12.75">
      <c r="L82" s="143">
        <f t="shared" si="2"/>
        <v>1428.8501912075635</v>
      </c>
      <c r="M82" s="144" t="s">
        <v>124</v>
      </c>
      <c r="N82" s="124"/>
    </row>
    <row r="83" spans="12:14" ht="12.75">
      <c r="L83" s="143">
        <f t="shared" si="2"/>
        <v>1400.2731873834123</v>
      </c>
      <c r="M83" s="144">
        <v>38443</v>
      </c>
      <c r="N83" s="124"/>
    </row>
    <row r="84" spans="12:14" ht="12.75">
      <c r="L84" s="143">
        <f t="shared" si="2"/>
        <v>1372.267723635744</v>
      </c>
      <c r="M84" s="144">
        <v>38473</v>
      </c>
      <c r="N84" s="124"/>
    </row>
    <row r="85" spans="12:14" ht="12.75">
      <c r="L85" s="143">
        <f aca="true" t="shared" si="14" ref="L85:L140">L84-(L84*$M$19)</f>
        <v>1344.8223691630292</v>
      </c>
      <c r="M85" s="144">
        <v>38504</v>
      </c>
      <c r="N85" s="124"/>
    </row>
    <row r="86" spans="12:14" ht="12.75">
      <c r="L86" s="143">
        <f t="shared" si="14"/>
        <v>1317.9259217797685</v>
      </c>
      <c r="M86" s="144">
        <v>38534</v>
      </c>
      <c r="N86" s="124"/>
    </row>
    <row r="87" spans="12:14" ht="12.75">
      <c r="L87" s="143">
        <f t="shared" si="14"/>
        <v>1291.567403344173</v>
      </c>
      <c r="M87" s="144">
        <v>38565</v>
      </c>
      <c r="N87" s="124"/>
    </row>
    <row r="88" spans="12:14" ht="12.75">
      <c r="L88" s="143">
        <f t="shared" si="14"/>
        <v>1265.7360552772896</v>
      </c>
      <c r="M88" s="144">
        <v>38596</v>
      </c>
      <c r="N88" s="124"/>
    </row>
    <row r="89" spans="12:14" ht="12.75">
      <c r="L89" s="143">
        <f t="shared" si="14"/>
        <v>1240.4213341717439</v>
      </c>
      <c r="M89" s="144">
        <v>38626</v>
      </c>
      <c r="N89" s="124"/>
    </row>
    <row r="90" spans="12:14" ht="12.75">
      <c r="L90" s="143">
        <f t="shared" si="14"/>
        <v>1215.612907488309</v>
      </c>
      <c r="M90" s="145">
        <v>38657</v>
      </c>
      <c r="N90" s="124"/>
    </row>
    <row r="91" spans="12:14" ht="12.75">
      <c r="L91" s="143">
        <f t="shared" si="14"/>
        <v>1191.3006493385428</v>
      </c>
      <c r="M91" s="145">
        <v>38687</v>
      </c>
      <c r="N91" s="124"/>
    </row>
    <row r="92" spans="12:14" ht="12.75">
      <c r="L92" s="143">
        <f t="shared" si="14"/>
        <v>1167.474636351772</v>
      </c>
      <c r="M92" s="144">
        <v>38353</v>
      </c>
      <c r="N92" s="124" t="s">
        <v>130</v>
      </c>
    </row>
    <row r="93" spans="12:14" ht="12.75">
      <c r="L93" s="143">
        <f t="shared" si="14"/>
        <v>1144.1251436247367</v>
      </c>
      <c r="M93" s="144">
        <v>38384</v>
      </c>
      <c r="N93" s="124"/>
    </row>
    <row r="94" spans="12:14" ht="12.75">
      <c r="L94" s="143">
        <f t="shared" si="14"/>
        <v>1121.2426407522419</v>
      </c>
      <c r="M94" s="144" t="s">
        <v>124</v>
      </c>
      <c r="N94" s="124"/>
    </row>
    <row r="95" spans="12:14" ht="12.75">
      <c r="L95" s="143">
        <f t="shared" si="14"/>
        <v>1098.817787937197</v>
      </c>
      <c r="M95" s="144">
        <v>38443</v>
      </c>
      <c r="N95" s="124"/>
    </row>
    <row r="96" spans="12:14" ht="12.75">
      <c r="L96" s="143">
        <f t="shared" si="14"/>
        <v>1076.841432178453</v>
      </c>
      <c r="M96" s="144">
        <v>38473</v>
      </c>
      <c r="N96" s="124"/>
    </row>
    <row r="97" spans="12:14" ht="12.75">
      <c r="L97" s="143">
        <f t="shared" si="14"/>
        <v>1055.3046035348839</v>
      </c>
      <c r="M97" s="144">
        <v>38504</v>
      </c>
      <c r="N97" s="124"/>
    </row>
    <row r="98" spans="12:14" ht="12.75">
      <c r="L98" s="143">
        <f t="shared" si="14"/>
        <v>1034.1985114641861</v>
      </c>
      <c r="M98" s="144">
        <v>38534</v>
      </c>
      <c r="N98" s="124"/>
    </row>
    <row r="99" spans="12:14" ht="12.75">
      <c r="L99" s="143">
        <f t="shared" si="14"/>
        <v>1013.5145412349024</v>
      </c>
      <c r="M99" s="144">
        <v>38565</v>
      </c>
      <c r="N99" s="124"/>
    </row>
    <row r="100" spans="12:14" ht="12.75">
      <c r="L100" s="143">
        <f t="shared" si="14"/>
        <v>993.2442504102044</v>
      </c>
      <c r="M100" s="144">
        <v>38596</v>
      </c>
      <c r="N100" s="124"/>
    </row>
    <row r="101" spans="12:14" ht="12.75">
      <c r="L101" s="143">
        <f t="shared" si="14"/>
        <v>973.3793654020003</v>
      </c>
      <c r="M101" s="144">
        <v>38626</v>
      </c>
      <c r="N101" s="124"/>
    </row>
    <row r="102" spans="12:14" ht="12.75">
      <c r="L102" s="143">
        <f t="shared" si="14"/>
        <v>953.9117780939603</v>
      </c>
      <c r="M102" s="145">
        <v>38657</v>
      </c>
      <c r="N102" s="124"/>
    </row>
    <row r="103" spans="12:14" ht="12.75">
      <c r="L103" s="143">
        <f t="shared" si="14"/>
        <v>934.8335425320811</v>
      </c>
      <c r="M103" s="145">
        <v>38687</v>
      </c>
      <c r="N103" s="124"/>
    </row>
    <row r="104" spans="12:14" ht="12.75">
      <c r="L104" s="143">
        <f t="shared" si="14"/>
        <v>916.1368716814395</v>
      </c>
      <c r="M104" s="144">
        <v>38353</v>
      </c>
      <c r="N104" s="124" t="s">
        <v>131</v>
      </c>
    </row>
    <row r="105" spans="12:14" ht="12.75">
      <c r="L105" s="143">
        <f t="shared" si="14"/>
        <v>897.8141342478107</v>
      </c>
      <c r="M105" s="144">
        <v>38384</v>
      </c>
      <c r="N105" s="124"/>
    </row>
    <row r="106" spans="12:14" ht="12.75">
      <c r="L106" s="143">
        <f t="shared" si="14"/>
        <v>879.8578515628544</v>
      </c>
      <c r="M106" s="144" t="s">
        <v>124</v>
      </c>
      <c r="N106" s="124"/>
    </row>
    <row r="107" spans="12:14" ht="12.75">
      <c r="L107" s="143">
        <f t="shared" si="14"/>
        <v>862.2606945315973</v>
      </c>
      <c r="M107" s="144">
        <v>38443</v>
      </c>
      <c r="N107" s="124"/>
    </row>
    <row r="108" spans="12:14" ht="12.75">
      <c r="L108" s="143">
        <f t="shared" si="14"/>
        <v>845.0154806409654</v>
      </c>
      <c r="M108" s="144">
        <v>38473</v>
      </c>
      <c r="N108" s="124"/>
    </row>
    <row r="109" spans="12:14" ht="12.75">
      <c r="L109" s="143">
        <f t="shared" si="14"/>
        <v>828.115171028146</v>
      </c>
      <c r="M109" s="144">
        <v>38504</v>
      </c>
      <c r="N109" s="124"/>
    </row>
    <row r="110" spans="12:14" ht="12.75">
      <c r="L110" s="143">
        <f t="shared" si="14"/>
        <v>811.5528676075832</v>
      </c>
      <c r="M110" s="144">
        <v>38534</v>
      </c>
      <c r="N110" s="124"/>
    </row>
    <row r="111" spans="12:14" ht="12.75">
      <c r="L111" s="143">
        <f t="shared" si="14"/>
        <v>795.3218102554315</v>
      </c>
      <c r="M111" s="144">
        <v>38565</v>
      </c>
      <c r="N111" s="124"/>
    </row>
    <row r="112" spans="12:14" ht="12.75">
      <c r="L112" s="143">
        <f t="shared" si="14"/>
        <v>779.4153740503228</v>
      </c>
      <c r="M112" s="144">
        <v>38596</v>
      </c>
      <c r="N112" s="124"/>
    </row>
    <row r="113" spans="12:14" ht="12.75">
      <c r="L113" s="143">
        <f t="shared" si="14"/>
        <v>763.8270665693163</v>
      </c>
      <c r="M113" s="144">
        <v>38626</v>
      </c>
      <c r="N113" s="124"/>
    </row>
    <row r="114" spans="12:14" ht="12.75">
      <c r="L114" s="143">
        <f t="shared" si="14"/>
        <v>748.5505252379301</v>
      </c>
      <c r="M114" s="145">
        <v>38657</v>
      </c>
      <c r="N114" s="124"/>
    </row>
    <row r="115" spans="12:14" ht="12.75">
      <c r="L115" s="143">
        <f t="shared" si="14"/>
        <v>733.5795147331714</v>
      </c>
      <c r="M115" s="145">
        <v>38687</v>
      </c>
      <c r="N115" s="124"/>
    </row>
    <row r="116" spans="12:14" ht="12.75">
      <c r="L116" s="143">
        <f t="shared" si="14"/>
        <v>718.907924438508</v>
      </c>
      <c r="M116" s="144">
        <v>38353</v>
      </c>
      <c r="N116" s="124" t="s">
        <v>132</v>
      </c>
    </row>
    <row r="117" spans="12:14" ht="12.75">
      <c r="L117" s="143">
        <f t="shared" si="14"/>
        <v>704.5297659497378</v>
      </c>
      <c r="M117" s="144">
        <v>38384</v>
      </c>
      <c r="N117" s="124"/>
    </row>
    <row r="118" spans="12:14" ht="12.75">
      <c r="L118" s="143">
        <f t="shared" si="14"/>
        <v>690.4391706307431</v>
      </c>
      <c r="M118" s="144" t="s">
        <v>124</v>
      </c>
      <c r="N118" s="124"/>
    </row>
    <row r="119" spans="12:14" ht="12.75">
      <c r="L119" s="143">
        <f t="shared" si="14"/>
        <v>676.6303872181282</v>
      </c>
      <c r="M119" s="144">
        <v>38443</v>
      </c>
      <c r="N119" s="124"/>
    </row>
    <row r="120" spans="12:14" ht="12.75">
      <c r="L120" s="143">
        <f t="shared" si="14"/>
        <v>663.0977794737657</v>
      </c>
      <c r="M120" s="144">
        <v>38473</v>
      </c>
      <c r="N120" s="124"/>
    </row>
    <row r="121" spans="12:14" ht="12.75">
      <c r="L121" s="143">
        <f t="shared" si="14"/>
        <v>649.8358238842904</v>
      </c>
      <c r="M121" s="144">
        <v>38504</v>
      </c>
      <c r="N121" s="124"/>
    </row>
    <row r="122" spans="12:14" ht="12.75">
      <c r="L122" s="143">
        <f t="shared" si="14"/>
        <v>636.8391074066046</v>
      </c>
      <c r="M122" s="144">
        <v>38534</v>
      </c>
      <c r="N122" s="124"/>
    </row>
    <row r="123" spans="12:14" ht="12.75">
      <c r="L123" s="143">
        <f t="shared" si="14"/>
        <v>624.1023252584725</v>
      </c>
      <c r="M123" s="144">
        <v>38565</v>
      </c>
      <c r="N123" s="124"/>
    </row>
    <row r="124" spans="12:14" ht="12.75">
      <c r="L124" s="143">
        <f t="shared" si="14"/>
        <v>611.6202787533031</v>
      </c>
      <c r="M124" s="144">
        <v>38596</v>
      </c>
      <c r="N124" s="124"/>
    </row>
    <row r="125" spans="12:14" ht="12.75">
      <c r="L125" s="143">
        <f t="shared" si="14"/>
        <v>599.387873178237</v>
      </c>
      <c r="M125" s="144">
        <v>38626</v>
      </c>
      <c r="N125" s="124"/>
    </row>
    <row r="126" spans="12:14" ht="12.75">
      <c r="L126" s="143">
        <f t="shared" si="14"/>
        <v>587.4001157146722</v>
      </c>
      <c r="M126" s="145">
        <v>38657</v>
      </c>
      <c r="N126" s="124"/>
    </row>
    <row r="127" spans="12:14" ht="12.75">
      <c r="L127" s="143">
        <f t="shared" si="14"/>
        <v>575.6521134003788</v>
      </c>
      <c r="M127" s="145">
        <v>38687</v>
      </c>
      <c r="N127" s="124"/>
    </row>
    <row r="128" spans="12:14" ht="12.75">
      <c r="L128" s="143">
        <f t="shared" si="14"/>
        <v>564.1390711323712</v>
      </c>
      <c r="M128" s="144">
        <v>38353</v>
      </c>
      <c r="N128" s="124" t="s">
        <v>133</v>
      </c>
    </row>
    <row r="129" spans="12:14" ht="12.75">
      <c r="L129" s="143">
        <f t="shared" si="14"/>
        <v>552.8562897097238</v>
      </c>
      <c r="M129" s="144">
        <v>38384</v>
      </c>
      <c r="N129" s="124"/>
    </row>
    <row r="130" spans="12:14" ht="12.75">
      <c r="L130" s="143">
        <f t="shared" si="14"/>
        <v>541.7991639155293</v>
      </c>
      <c r="M130" s="144" t="s">
        <v>124</v>
      </c>
      <c r="N130" s="124"/>
    </row>
    <row r="131" spans="12:14" ht="12.75">
      <c r="L131" s="143">
        <f t="shared" si="14"/>
        <v>530.9631806372188</v>
      </c>
      <c r="M131" s="144">
        <v>38443</v>
      </c>
      <c r="N131" s="124"/>
    </row>
    <row r="132" spans="12:14" ht="12.75">
      <c r="L132" s="143">
        <f t="shared" si="14"/>
        <v>520.3439170244744</v>
      </c>
      <c r="M132" s="144">
        <v>38473</v>
      </c>
      <c r="N132" s="124"/>
    </row>
    <row r="133" spans="12:14" ht="12.75">
      <c r="L133" s="143">
        <f t="shared" si="14"/>
        <v>509.93703868398495</v>
      </c>
      <c r="M133" s="144">
        <v>38504</v>
      </c>
      <c r="N133" s="124"/>
    </row>
    <row r="134" spans="12:14" ht="12.75">
      <c r="L134" s="143">
        <f t="shared" si="14"/>
        <v>499.7382979103053</v>
      </c>
      <c r="M134" s="144">
        <v>38534</v>
      </c>
      <c r="N134" s="124"/>
    </row>
    <row r="135" spans="12:14" ht="12.75">
      <c r="L135" s="143">
        <f t="shared" si="14"/>
        <v>489.74353195209915</v>
      </c>
      <c r="M135" s="144">
        <v>38565</v>
      </c>
      <c r="N135" s="124"/>
    </row>
    <row r="136" spans="12:14" ht="12.75">
      <c r="L136" s="143">
        <f t="shared" si="14"/>
        <v>479.9486613130572</v>
      </c>
      <c r="M136" s="144">
        <v>38596</v>
      </c>
      <c r="N136" s="124"/>
    </row>
    <row r="137" spans="12:14" ht="12.75">
      <c r="L137" s="143">
        <f t="shared" si="14"/>
        <v>470.34968808679605</v>
      </c>
      <c r="M137" s="144">
        <v>38626</v>
      </c>
      <c r="N137" s="124"/>
    </row>
    <row r="138" spans="12:14" ht="12.75">
      <c r="L138" s="143">
        <f t="shared" si="14"/>
        <v>460.94269432506013</v>
      </c>
      <c r="M138" s="145">
        <v>38657</v>
      </c>
      <c r="N138" s="124"/>
    </row>
    <row r="139" spans="12:14" ht="12.75">
      <c r="L139" s="143">
        <f t="shared" si="14"/>
        <v>451.7238404385589</v>
      </c>
      <c r="M139" s="145">
        <v>38687</v>
      </c>
      <c r="N139" s="124"/>
    </row>
    <row r="140" spans="12:14" ht="12.75">
      <c r="L140" s="143">
        <f t="shared" si="14"/>
        <v>442.68936362978775</v>
      </c>
      <c r="M140" s="146">
        <v>38353</v>
      </c>
      <c r="N140" s="124" t="s">
        <v>134</v>
      </c>
    </row>
    <row r="141" spans="12:13" ht="12.75">
      <c r="L141" s="77"/>
      <c r="M141" s="142"/>
    </row>
  </sheetData>
  <mergeCells count="32">
    <mergeCell ref="C58:D58"/>
    <mergeCell ref="C59:D59"/>
    <mergeCell ref="C60:D60"/>
    <mergeCell ref="C61:D61"/>
    <mergeCell ref="C54:D54"/>
    <mergeCell ref="C55:D55"/>
    <mergeCell ref="C56:D56"/>
    <mergeCell ref="C57:D57"/>
    <mergeCell ref="C46:D46"/>
    <mergeCell ref="C47:D47"/>
    <mergeCell ref="C52:D52"/>
    <mergeCell ref="C53:D53"/>
    <mergeCell ref="C42:D42"/>
    <mergeCell ref="C43:D43"/>
    <mergeCell ref="C44:D44"/>
    <mergeCell ref="C45:D45"/>
    <mergeCell ref="C38:D38"/>
    <mergeCell ref="C39:D39"/>
    <mergeCell ref="C40:D40"/>
    <mergeCell ref="C41:D41"/>
    <mergeCell ref="C28:D28"/>
    <mergeCell ref="C29:D29"/>
    <mergeCell ref="C30:D30"/>
    <mergeCell ref="C31:D31"/>
    <mergeCell ref="C24:D24"/>
    <mergeCell ref="C25:D25"/>
    <mergeCell ref="C26:D26"/>
    <mergeCell ref="C27:D27"/>
    <mergeCell ref="B1:E1"/>
    <mergeCell ref="C21:D21"/>
    <mergeCell ref="C22:D22"/>
    <mergeCell ref="C23:D2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15"/>
  <sheetViews>
    <sheetView tabSelected="1" workbookViewId="0" topLeftCell="A1">
      <selection activeCell="G12" sqref="G12"/>
    </sheetView>
  </sheetViews>
  <sheetFormatPr defaultColWidth="9.140625" defaultRowHeight="12.75"/>
  <cols>
    <col min="3" max="3" width="9.8515625" style="0" customWidth="1"/>
    <col min="7" max="7" width="13.8515625" style="0" customWidth="1"/>
  </cols>
  <sheetData>
    <row r="3" spans="3:7" ht="23.25">
      <c r="C3" s="157" t="s">
        <v>137</v>
      </c>
      <c r="D3" s="157"/>
      <c r="E3" s="157"/>
      <c r="F3" s="157"/>
      <c r="G3" s="157"/>
    </row>
    <row r="5" spans="3:7" ht="12.75">
      <c r="C5" s="158" t="s">
        <v>138</v>
      </c>
      <c r="D5" s="158"/>
      <c r="E5" s="158"/>
      <c r="F5" s="158"/>
      <c r="G5" s="162">
        <v>13500</v>
      </c>
    </row>
    <row r="6" spans="3:7" ht="12.75">
      <c r="C6" s="158" t="s">
        <v>139</v>
      </c>
      <c r="D6" s="158"/>
      <c r="E6" s="158"/>
      <c r="F6" s="158"/>
      <c r="G6" s="159">
        <v>2700</v>
      </c>
    </row>
    <row r="7" spans="3:7" ht="12.75">
      <c r="C7" s="158" t="s">
        <v>41</v>
      </c>
      <c r="D7" s="158"/>
      <c r="E7" s="158"/>
      <c r="F7" s="158"/>
      <c r="G7" s="162">
        <v>2500</v>
      </c>
    </row>
    <row r="8" spans="3:7" ht="12.75">
      <c r="C8" s="158" t="s">
        <v>28</v>
      </c>
      <c r="D8" s="158"/>
      <c r="E8" s="158"/>
      <c r="F8" s="158"/>
      <c r="G8" s="162">
        <v>12855</v>
      </c>
    </row>
    <row r="9" spans="3:7" ht="12.75">
      <c r="C9" s="158" t="s">
        <v>44</v>
      </c>
      <c r="D9" s="158"/>
      <c r="E9" s="158"/>
      <c r="F9" s="158"/>
      <c r="G9" s="162">
        <v>11206</v>
      </c>
    </row>
    <row r="10" spans="3:7" ht="12.75">
      <c r="C10" s="158" t="s">
        <v>140</v>
      </c>
      <c r="D10" s="158"/>
      <c r="E10" s="158"/>
      <c r="F10" s="158"/>
      <c r="G10" s="162">
        <v>3864</v>
      </c>
    </row>
    <row r="11" spans="3:7" ht="12.75">
      <c r="C11" s="158" t="s">
        <v>12</v>
      </c>
      <c r="D11" s="158"/>
      <c r="E11" s="158"/>
      <c r="F11" s="158"/>
      <c r="G11" s="159">
        <v>800</v>
      </c>
    </row>
    <row r="12" spans="3:7" ht="18">
      <c r="C12" s="158" t="s">
        <v>141</v>
      </c>
      <c r="D12" s="158"/>
      <c r="E12" s="158"/>
      <c r="F12" s="158"/>
      <c r="G12" s="160">
        <f>G5-(SUM(G6:G11))</f>
        <v>-20425</v>
      </c>
    </row>
    <row r="14" spans="3:7" ht="12.75">
      <c r="C14" s="158" t="s">
        <v>142</v>
      </c>
      <c r="D14" s="158"/>
      <c r="E14" s="158"/>
      <c r="F14" s="158"/>
      <c r="G14" s="162">
        <v>55000</v>
      </c>
    </row>
    <row r="15" spans="3:7" ht="27.75">
      <c r="C15" s="158" t="s">
        <v>143</v>
      </c>
      <c r="D15" s="158"/>
      <c r="E15" s="158"/>
      <c r="F15" s="158"/>
      <c r="G15" s="161">
        <f>G14+G12</f>
        <v>34575</v>
      </c>
    </row>
  </sheetData>
  <mergeCells count="1">
    <mergeCell ref="C3:G3"/>
  </mergeCells>
  <conditionalFormatting sqref="G1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de Jonge</dc:creator>
  <cp:keywords/>
  <dc:description/>
  <cp:lastModifiedBy>Gebruiker</cp:lastModifiedBy>
  <dcterms:created xsi:type="dcterms:W3CDTF">2005-10-11T12:00:08Z</dcterms:created>
  <dcterms:modified xsi:type="dcterms:W3CDTF">2006-01-10T11:18:27Z</dcterms:modified>
  <cp:category/>
  <cp:version/>
  <cp:contentType/>
  <cp:contentStatus/>
</cp:coreProperties>
</file>